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ZES\Energiegemeenschappen\"/>
    </mc:Choice>
  </mc:AlternateContent>
  <xr:revisionPtr revIDLastSave="0" documentId="13_ncr:1_{18676005-4DC1-441A-BC28-476EEDB79B34}" xr6:coauthVersionLast="47" xr6:coauthVersionMax="47" xr10:uidLastSave="{00000000-0000-0000-0000-000000000000}"/>
  <bookViews>
    <workbookView xWindow="-108" yWindow="-108" windowWidth="23256" windowHeight="12576" firstSheet="1" activeTab="1" xr2:uid="{F715E9E1-3AE5-474B-873B-695B37FB4AFD}"/>
  </bookViews>
  <sheets>
    <sheet name="Financieringsplan" sheetId="1" r:id="rId1"/>
    <sheet name="Cashflow" sheetId="2" r:id="rId2"/>
    <sheet name="Verwachte balans 1-3de jr" sheetId="3" r:id="rId3"/>
    <sheet name="Verwachte resultaten 3jr" sheetId="4" r:id="rId4"/>
    <sheet name="Verwachte begroting 2jr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1" i="2" l="1"/>
  <c r="R41" i="2"/>
  <c r="M41" i="2"/>
  <c r="AA24" i="2"/>
  <c r="AA23" i="2"/>
  <c r="AA22" i="2"/>
  <c r="AA21" i="2"/>
  <c r="AA20" i="2"/>
  <c r="AA18" i="2"/>
  <c r="AA17" i="2"/>
  <c r="AA16" i="2"/>
  <c r="AA15" i="2"/>
  <c r="AA14" i="2"/>
  <c r="AA12" i="2"/>
  <c r="AA11" i="2"/>
  <c r="AA10" i="2"/>
  <c r="AA9" i="2"/>
  <c r="AA8" i="2"/>
  <c r="AA7" i="2"/>
  <c r="AA6" i="2"/>
  <c r="AA5" i="2"/>
  <c r="AB13" i="2" s="1"/>
  <c r="AA4" i="2"/>
  <c r="AA3" i="2"/>
  <c r="AB25" i="2" s="1"/>
  <c r="C18" i="1"/>
  <c r="C12" i="1"/>
  <c r="C3" i="1"/>
  <c r="C20" i="1"/>
  <c r="C21" i="1"/>
  <c r="C22" i="1"/>
  <c r="C23" i="1"/>
  <c r="C24" i="1"/>
  <c r="C19" i="1"/>
  <c r="C24" i="2"/>
  <c r="C23" i="2"/>
  <c r="C22" i="2"/>
  <c r="AB19" i="2" l="1"/>
  <c r="C17" i="1" l="1"/>
  <c r="C10" i="1"/>
  <c r="C6" i="1"/>
  <c r="C7" i="1"/>
  <c r="C8" i="1"/>
  <c r="C5" i="1"/>
  <c r="C26" i="1"/>
  <c r="C25" i="1"/>
  <c r="B26" i="1"/>
  <c r="B25" i="1"/>
  <c r="C4" i="2"/>
  <c r="C4" i="1" s="1"/>
  <c r="C16" i="2"/>
  <c r="C16" i="1" s="1"/>
  <c r="C15" i="2"/>
  <c r="C14" i="2" s="1"/>
  <c r="C14" i="1" s="1"/>
  <c r="C12" i="2"/>
  <c r="C15" i="1" l="1"/>
  <c r="B34" i="1"/>
  <c r="P30" i="2"/>
  <c r="O30" i="2"/>
  <c r="N27" i="2"/>
  <c r="M30" i="2"/>
  <c r="L30" i="2"/>
  <c r="J30" i="2"/>
  <c r="I30" i="2"/>
  <c r="G30" i="2"/>
  <c r="F33" i="2"/>
  <c r="G33" i="2" s="1"/>
  <c r="H33" i="2" s="1"/>
  <c r="I33" i="2" s="1"/>
  <c r="J33" i="2" s="1"/>
  <c r="K33" i="2" s="1"/>
  <c r="L33" i="2" s="1"/>
  <c r="M33" i="2" s="1"/>
  <c r="E34" i="2"/>
  <c r="F34" i="2" s="1"/>
  <c r="G34" i="2" s="1"/>
  <c r="H34" i="2" s="1"/>
  <c r="I34" i="2" s="1"/>
  <c r="J34" i="2" s="1"/>
  <c r="K34" i="2" s="1"/>
  <c r="L34" i="2" s="1"/>
  <c r="M34" i="2" s="1"/>
  <c r="N34" i="2" s="1"/>
  <c r="O34" i="2" s="1"/>
  <c r="P34" i="2" s="1"/>
  <c r="Q34" i="2" s="1"/>
  <c r="R34" i="2" s="1"/>
  <c r="S34" i="2" s="1"/>
  <c r="T34" i="2" s="1"/>
  <c r="U34" i="2" s="1"/>
  <c r="V34" i="2" s="1"/>
  <c r="W34" i="2" s="1"/>
  <c r="R30" i="2"/>
  <c r="Q30" i="2"/>
  <c r="N30" i="2"/>
  <c r="K30" i="2"/>
  <c r="H30" i="2"/>
  <c r="F30" i="2"/>
  <c r="E30" i="2"/>
  <c r="D26" i="2"/>
  <c r="B15" i="3" l="1"/>
  <c r="F15" i="3" s="1"/>
  <c r="J15" i="3" s="1"/>
  <c r="R38" i="2"/>
  <c r="H37" i="2"/>
  <c r="I37" i="2" s="1"/>
  <c r="J37" i="2" s="1"/>
  <c r="K37" i="2" s="1"/>
  <c r="L37" i="2" s="1"/>
  <c r="M37" i="2" s="1"/>
  <c r="N37" i="2" s="1"/>
  <c r="O37" i="2" s="1"/>
  <c r="P37" i="2" s="1"/>
  <c r="Q37" i="2" s="1"/>
  <c r="D33" i="2"/>
  <c r="D5" i="4" l="1"/>
  <c r="C5" i="4"/>
  <c r="C5" i="5"/>
  <c r="D30" i="2" l="1"/>
  <c r="B5" i="3"/>
  <c r="B7" i="3"/>
  <c r="F7" i="3" s="1"/>
  <c r="J7" i="3" s="1"/>
  <c r="J28" i="3"/>
  <c r="F28" i="3"/>
  <c r="B17" i="5" l="1"/>
  <c r="B17" i="4" l="1"/>
  <c r="B28" i="3"/>
  <c r="B5" i="5" l="1"/>
  <c r="B5" i="4"/>
  <c r="C17" i="5" l="1"/>
  <c r="C17" i="4"/>
  <c r="D25" i="2"/>
  <c r="R35" i="2" l="1"/>
  <c r="D29" i="2"/>
  <c r="C38" i="1" s="1"/>
  <c r="O35" i="2"/>
  <c r="K35" i="2"/>
  <c r="J35" i="2"/>
  <c r="M35" i="2"/>
  <c r="P35" i="2"/>
  <c r="N35" i="2"/>
  <c r="Q35" i="2"/>
  <c r="I35" i="2"/>
  <c r="L35" i="2"/>
  <c r="B8" i="4"/>
  <c r="G35" i="2"/>
  <c r="E28" i="2"/>
  <c r="C15" i="4" s="1"/>
  <c r="E29" i="2"/>
  <c r="F29" i="2" s="1"/>
  <c r="G29" i="2" s="1"/>
  <c r="F35" i="2"/>
  <c r="D17" i="4" s="1"/>
  <c r="H35" i="2"/>
  <c r="B8" i="5"/>
  <c r="C8" i="4" l="1"/>
  <c r="C15" i="5"/>
  <c r="C8" i="5"/>
  <c r="D8" i="4" l="1"/>
  <c r="H29" i="2"/>
  <c r="I29" i="2" s="1"/>
  <c r="J29" i="2" s="1"/>
  <c r="K29" i="2" l="1"/>
  <c r="L29" i="2" l="1"/>
  <c r="M29" i="2" l="1"/>
  <c r="N29" i="2" s="1"/>
  <c r="O29" i="2" l="1"/>
  <c r="P29" i="2" l="1"/>
  <c r="Q29" i="2" l="1"/>
  <c r="R29" i="2" l="1"/>
  <c r="S29" i="2" l="1"/>
  <c r="T29" i="2" l="1"/>
  <c r="U29" i="2" l="1"/>
  <c r="V29" i="2" l="1"/>
  <c r="W29" i="2" l="1"/>
  <c r="C9" i="2"/>
  <c r="C9" i="1" s="1"/>
  <c r="C11" i="2"/>
  <c r="C11" i="1" s="1"/>
  <c r="D32" i="2" l="1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U32" i="2" s="1"/>
  <c r="V32" i="2" s="1"/>
  <c r="W32" i="2" s="1"/>
  <c r="D31" i="2"/>
  <c r="B4" i="4" l="1"/>
  <c r="B20" i="4" s="1"/>
  <c r="B4" i="5"/>
  <c r="B20" i="5" s="1"/>
  <c r="E31" i="2"/>
  <c r="D39" i="2"/>
  <c r="B10" i="3" s="1"/>
  <c r="B11" i="3" s="1"/>
  <c r="B23" i="5" l="1"/>
  <c r="B24" i="5" s="1"/>
  <c r="F31" i="2"/>
  <c r="C4" i="5"/>
  <c r="C20" i="5" s="1"/>
  <c r="C4" i="4"/>
  <c r="C20" i="4" s="1"/>
  <c r="E39" i="2"/>
  <c r="F10" i="3" s="1"/>
  <c r="F11" i="3" s="1"/>
  <c r="B23" i="4"/>
  <c r="B24" i="4" s="1"/>
  <c r="C23" i="5" l="1"/>
  <c r="C24" i="5" s="1"/>
  <c r="C23" i="4"/>
  <c r="C24" i="4" s="1"/>
  <c r="F39" i="2"/>
  <c r="J10" i="3" s="1"/>
  <c r="J11" i="3" s="1"/>
  <c r="D4" i="4"/>
  <c r="D20" i="4" s="1"/>
  <c r="G31" i="2"/>
  <c r="G39" i="2" l="1"/>
  <c r="H31" i="2"/>
  <c r="D23" i="4"/>
  <c r="D24" i="4" s="1"/>
  <c r="H39" i="2" l="1"/>
  <c r="I31" i="2"/>
  <c r="I39" i="2" l="1"/>
  <c r="J31" i="2"/>
  <c r="J39" i="2" l="1"/>
  <c r="K31" i="2"/>
  <c r="K39" i="2" l="1"/>
  <c r="L31" i="2"/>
  <c r="M31" i="2" l="1"/>
  <c r="L39" i="2"/>
  <c r="N31" i="2" l="1"/>
  <c r="M39" i="2"/>
  <c r="O31" i="2" l="1"/>
  <c r="N39" i="2"/>
  <c r="O39" i="2" l="1"/>
  <c r="P31" i="2"/>
  <c r="P39" i="2" l="1"/>
  <c r="Q31" i="2"/>
  <c r="Q39" i="2" l="1"/>
  <c r="R31" i="2"/>
  <c r="R39" i="2" l="1"/>
  <c r="S31" i="2"/>
  <c r="S39" i="2" l="1"/>
  <c r="T31" i="2"/>
  <c r="U31" i="2" l="1"/>
  <c r="T39" i="2"/>
  <c r="V31" i="2" l="1"/>
  <c r="U39" i="2"/>
  <c r="V39" i="2" l="1"/>
  <c r="W31" i="2"/>
  <c r="W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tc={106D7E72-4E77-4F8C-A735-BE5FE1F9A6F6}</author>
  </authors>
  <commentList>
    <comment ref="N27" authorId="0" shapeId="0" xr:uid="{106D7E72-4E77-4F8C-A735-BE5FE1F9A6F6}">
      <text>
        <t>[Threaded comment]
Your version of Excel allows you to read this threaded comment; however, any edits to it will get removed if the file is opened in a newer version of Excel. Learn more: https://go.microsoft.com/fwlink/?linkid=870924
Comment:
    eenmalig want omvormergarantie voor 10 jr</t>
      </text>
    </comment>
  </commentList>
</comments>
</file>

<file path=xl/sharedStrings.xml><?xml version="1.0" encoding="utf-8"?>
<sst xmlns="http://schemas.openxmlformats.org/spreadsheetml/2006/main" count="281" uniqueCount="173">
  <si>
    <t>Financieringsplan energiegemeenschappen</t>
  </si>
  <si>
    <t>Omschrijving</t>
  </si>
  <si>
    <t>Procent</t>
  </si>
  <si>
    <t>bedrag</t>
  </si>
  <si>
    <t>toelichting</t>
  </si>
  <si>
    <t>Noodzakelijk kapitaal</t>
  </si>
  <si>
    <t>zijnde maximum 1200 aandelen van elk 250 €, met maximum 50 aandelen pp</t>
  </si>
  <si>
    <t xml:space="preserve"> - Vermogen (in kWp)</t>
  </si>
  <si>
    <t>kWp</t>
  </si>
  <si>
    <t xml:space="preserve"> - Vermogen (in kVA)</t>
  </si>
  <si>
    <t>kVA</t>
  </si>
  <si>
    <t xml:space="preserve"> - Vermogen per paneel (in Wp) </t>
  </si>
  <si>
    <t>Wp</t>
  </si>
  <si>
    <t xml:space="preserve"> - Oppervlakte per paneel (in m²)</t>
  </si>
  <si>
    <t>m²</t>
  </si>
  <si>
    <t xml:space="preserve"> - Aantal panelen</t>
  </si>
  <si>
    <t xml:space="preserve"> - Oppervlakte panelen (in m²)</t>
  </si>
  <si>
    <t xml:space="preserve"> - Vollasturen per jaar</t>
  </si>
  <si>
    <r>
      <t>Een </t>
    </r>
    <r>
      <rPr>
        <i/>
        <sz val="9"/>
        <color rgb="FF202124"/>
        <rFont val="Calibri"/>
        <family val="2"/>
        <scheme val="minor"/>
      </rPr>
      <t>vollastuur (vaak vollastuur per jaar) is een eenheid voor de effectieve (jaar)opbrengst van een energiebron met een wisselend vermogen (zoals zonnepanelen en windmolens)</t>
    </r>
    <r>
      <rPr>
        <i/>
        <sz val="9"/>
        <color theme="1"/>
        <rFont val="Calibri"/>
        <family val="2"/>
        <scheme val="minor"/>
      </rPr>
      <t xml:space="preserve"> - wordt weergegeven in </t>
    </r>
    <r>
      <rPr>
        <b/>
        <i/>
        <sz val="9"/>
        <color theme="1"/>
        <rFont val="Calibri"/>
        <family val="2"/>
        <scheme val="minor"/>
      </rPr>
      <t>uur/jaar</t>
    </r>
  </si>
  <si>
    <t>- Productie (in MWh)</t>
  </si>
  <si>
    <t>MWh/jaar</t>
  </si>
  <si>
    <t>Max bedrag</t>
  </si>
  <si>
    <t xml:space="preserve">Waarvan : </t>
  </si>
  <si>
    <t>- Investeringskapitaal</t>
  </si>
  <si>
    <r>
      <t xml:space="preserve">Voor # kWp zonnepanelen, volgens haalbaarheidsstudie </t>
    </r>
    <r>
      <rPr>
        <b/>
        <i/>
        <sz val="9"/>
        <color theme="1"/>
        <rFont val="Calibri"/>
        <family val="2"/>
        <scheme val="minor"/>
      </rPr>
      <t>ZES</t>
    </r>
  </si>
  <si>
    <t>- Vlottend kapitaal 1ste jaar</t>
  </si>
  <si>
    <t>Oprichtingskosten (notaris, drukwerken,…)</t>
  </si>
  <si>
    <t>Studiekosten (marktbevraging + netstudie + werfopvolging)</t>
  </si>
  <si>
    <t>- Vlottend kapitaal volgende jaren</t>
  </si>
  <si>
    <t>Werkingskosten per jaar : belastingen, verzekeringen, begeleiding ZES, boekhouding, drukwerken, …</t>
  </si>
  <si>
    <t xml:space="preserve">Kapitaalophaling </t>
  </si>
  <si>
    <t>Zijnde maximum 1200 aandelen van elk 250 €, met maximum 50 aandelen pp</t>
  </si>
  <si>
    <t>- Maximale inleg per coöperant</t>
  </si>
  <si>
    <t>Beperking TAX shelter</t>
  </si>
  <si>
    <t>- Gemiddelde inleg per coöperant</t>
  </si>
  <si>
    <t>- Waarde van het aandeel</t>
  </si>
  <si>
    <t>- Max aantal aandelen per persoon</t>
  </si>
  <si>
    <t>- Aantal coöperanten met gemiddeld aantal aandelen</t>
  </si>
  <si>
    <t>- Aantal coöperanten met maximum aantal aandelen</t>
  </si>
  <si>
    <t>- Stroomverkoop direct lokaal verbruik</t>
  </si>
  <si>
    <t>- Stroomverkoop energiegemeenschap</t>
  </si>
  <si>
    <t>- Project IRR EBIT 10 jaar</t>
  </si>
  <si>
    <t>- Project IRR EBIT 15 jaar</t>
  </si>
  <si>
    <t>- Project IRR EBIT 20 jaar</t>
  </si>
  <si>
    <t>- TerugVerdienTijd</t>
  </si>
  <si>
    <t>Jaar</t>
  </si>
  <si>
    <t>- Plaatsingsdatum</t>
  </si>
  <si>
    <t>- Looptijd investering/afschrijving</t>
  </si>
  <si>
    <t>- Verwacht dividend</t>
  </si>
  <si>
    <t>Maximum voor erkende coöperatie</t>
  </si>
  <si>
    <t>- Percentage die in coöperatie blijft zitten</t>
  </si>
  <si>
    <t>- Huuruitgaven</t>
  </si>
  <si>
    <t>- Omgevingsfonds</t>
  </si>
  <si>
    <t>- Vervanging omvormer</t>
  </si>
  <si>
    <t>C5*x</t>
  </si>
  <si>
    <t xml:space="preserve">Jaarlijks percentage van vermogen in kVA </t>
  </si>
  <si>
    <t>- Jaarlijkse verzekering</t>
  </si>
  <si>
    <t>Zie ook "Vlottend kapitaal volgende jaren"</t>
  </si>
  <si>
    <t>Indien er - al dan niet tijdelijk - onvoldoende geld wordt opgehaald, kan een lening worden afgesloten, hetzij bij de energiegemeenschap, hetzij via een win-win-lening, hetzij bij PMV (die hiervoor een specifiek aanbod hebben), hetzij bij een commerciële bank.</t>
  </si>
  <si>
    <t>Ervaring met andere coöperaties leert dat dergelijk kapitaal snel kan worden opgehaald, temeer deze in aanmerking komen voor belastingsvrijstelling onder de regelgeving 'taks shelter voor startende vennootschappen'</t>
  </si>
  <si>
    <t>Legende</t>
  </si>
  <si>
    <t>= Variabelen</t>
  </si>
  <si>
    <t>= Nog te verifiëren</t>
  </si>
  <si>
    <t>Businessplan energiegemeenschappen</t>
  </si>
  <si>
    <t>Post-project</t>
  </si>
  <si>
    <t>IRR-berekening</t>
  </si>
  <si>
    <t>%</t>
  </si>
  <si>
    <t>€/MWh</t>
  </si>
  <si>
    <t>jaar</t>
  </si>
  <si>
    <t>cashflow</t>
  </si>
  <si>
    <t>saldo</t>
  </si>
  <si>
    <t>Vermogen (in kWp)</t>
  </si>
  <si>
    <t>Vermogen (in kVA)</t>
  </si>
  <si>
    <t>Vermogen per paneel (in Wp)</t>
  </si>
  <si>
    <t>Oppervlakte per paneel (in m²)</t>
  </si>
  <si>
    <t>Aantal panelen</t>
  </si>
  <si>
    <t>Oppervlakte panelen (in m²)</t>
  </si>
  <si>
    <t>Vollasturen per jaar</t>
  </si>
  <si>
    <t>Productie (in MWh)</t>
  </si>
  <si>
    <t>IRR 10 JR</t>
  </si>
  <si>
    <t>Investeringskapitaal</t>
  </si>
  <si>
    <t>Vlottend kapitaal 1ste jaar</t>
  </si>
  <si>
    <t>Vlottend kapitaal volgende jaren</t>
  </si>
  <si>
    <t>Maximale inleg per coöperant</t>
  </si>
  <si>
    <t>IRR 15 jr</t>
  </si>
  <si>
    <t>Gemiddelde inleg per coöperant</t>
  </si>
  <si>
    <t>Waarde van het aandeel</t>
  </si>
  <si>
    <t>Max aantal aandelen per persoon</t>
  </si>
  <si>
    <t>Aantal coöperanten met gemiddeld aantal aandelen</t>
  </si>
  <si>
    <t>Aantal coöperanten met maximum aantal aandelen</t>
  </si>
  <si>
    <t>Investering &amp; oprichting</t>
  </si>
  <si>
    <t>IRR 20 jr</t>
  </si>
  <si>
    <t>Kapitaalsophaling</t>
  </si>
  <si>
    <t>Vervanging omvormers</t>
  </si>
  <si>
    <t>Fiscale aftrek energievriendelijke investering</t>
  </si>
  <si>
    <t>Verzekering</t>
  </si>
  <si>
    <t>Overige kosten (belastingen, boekhouding + overige)</t>
  </si>
  <si>
    <t>Stroomverkoop  % direct lokaal verbruik €/MWh</t>
  </si>
  <si>
    <t>Stroomverkoop  % aan stroomgemeenschap €/MWh</t>
  </si>
  <si>
    <t xml:space="preserve">Investeringssubsidie 10% </t>
  </si>
  <si>
    <t>Verkoop garanties van oorsprong</t>
  </si>
  <si>
    <t>Dividend aandeelhouders</t>
  </si>
  <si>
    <t>Interesten + kosten bank</t>
  </si>
  <si>
    <t>Terugstorting kapitaal à aandeelhouders</t>
  </si>
  <si>
    <t>Cashflow</t>
  </si>
  <si>
    <t>IRR-EBIT</t>
  </si>
  <si>
    <t>Waarden</t>
  </si>
  <si>
    <t>Jaarlijks verzekeringspercentage op investeringsbedrag</t>
  </si>
  <si>
    <t>Fiscale aftrek op bedrijfsbelasting</t>
  </si>
  <si>
    <t>Kosten per jaar voor jaar 2, 3 en 4</t>
  </si>
  <si>
    <t>Kosten per jaar voor jaar 5 tot 10</t>
  </si>
  <si>
    <t>Kosten per jaar voor jaar 11 tot 15, daarna afgeschreven</t>
  </si>
  <si>
    <t>Geleidelijke verminderde productie van de panelen</t>
  </si>
  <si>
    <t>Vervanging omvormer €/jaar</t>
  </si>
  <si>
    <t>Dividend jaar 3 tot 5</t>
  </si>
  <si>
    <t>Dividend jaar 5 tot 14</t>
  </si>
  <si>
    <t>Dividend jaar 15 dan afgeschreven</t>
  </si>
  <si>
    <t>Energiegemeenschappen - openingsbalans 1ste boekjaar</t>
  </si>
  <si>
    <t>Energiegemeenschappen - verwachte balans 2de boekjaar</t>
  </si>
  <si>
    <t>Energiegemeenschappen - verwachte balans 3de boekjaar</t>
  </si>
  <si>
    <t>ACTIVA</t>
  </si>
  <si>
    <t>Vaste activa</t>
  </si>
  <si>
    <t>Oprichtingskosten</t>
  </si>
  <si>
    <t>Immateriële vaste activa</t>
  </si>
  <si>
    <t>Geen</t>
  </si>
  <si>
    <t>Materiële vaste activa</t>
  </si>
  <si>
    <t>PV-installatie</t>
  </si>
  <si>
    <t xml:space="preserve">Financiële vaste activa </t>
  </si>
  <si>
    <t>Vlottende activa</t>
  </si>
  <si>
    <t>Werkingsmiddelen op zichtrekening</t>
  </si>
  <si>
    <t>TOTAAL</t>
  </si>
  <si>
    <t>PASSIVA</t>
  </si>
  <si>
    <t>Eigen vermogen</t>
  </si>
  <si>
    <t>Kapitaal</t>
  </si>
  <si>
    <t>Opgehaald via aandelen</t>
  </si>
  <si>
    <t>Uitgiftepremies</t>
  </si>
  <si>
    <t>Herwaarderingsmeerwaarden</t>
  </si>
  <si>
    <t>Reserves</t>
  </si>
  <si>
    <t>Overgedragen winst/verlies</t>
  </si>
  <si>
    <t>Kapitaalsubsidies</t>
  </si>
  <si>
    <t>Voorzieningen en uitgestelde belastingen</t>
  </si>
  <si>
    <t>Voorzieningen voor risico's en kosten</t>
  </si>
  <si>
    <t>Uitgestelde belastingen</t>
  </si>
  <si>
    <t>Schulden</t>
  </si>
  <si>
    <t>Schulden op meer dan één jaar</t>
  </si>
  <si>
    <t>Schulden op ten hoogste één jaar</t>
  </si>
  <si>
    <t>Overlopende rekeningen</t>
  </si>
  <si>
    <t>Energiegemeenschappen - verwachte resultaten 1ste 3 boekjaren</t>
  </si>
  <si>
    <t>1ste boekjaar</t>
  </si>
  <si>
    <t>2de boekjaar</t>
  </si>
  <si>
    <t>3de boekjaar</t>
  </si>
  <si>
    <t>Bedrijfsopbrengsten</t>
  </si>
  <si>
    <t>Grond- en hulpstoffen</t>
  </si>
  <si>
    <t>Diensten en diverse goederen</t>
  </si>
  <si>
    <t>Brutomarge</t>
  </si>
  <si>
    <t>Bezoldigingen, sociale lasten en pensioenen</t>
  </si>
  <si>
    <t>Afschrijvingen</t>
  </si>
  <si>
    <t>Waardeverminderingen op voorraden</t>
  </si>
  <si>
    <t>Diverse lasten</t>
  </si>
  <si>
    <t>Andere bedrijfskosten</t>
  </si>
  <si>
    <t>Bedrijfswinst of -verlies</t>
  </si>
  <si>
    <t>Financiële opbrengsten</t>
  </si>
  <si>
    <t>Uitzonderlijke opbrengsten</t>
  </si>
  <si>
    <t>Andere opbrengsten</t>
  </si>
  <si>
    <t>Financiële kosten</t>
  </si>
  <si>
    <t>Uitzonderlijke kosten</t>
  </si>
  <si>
    <t>Andere kosten</t>
  </si>
  <si>
    <t>Winst of verlies van het boekjaar vóór belasting</t>
  </si>
  <si>
    <t>Onttrekking aan de uitgestelde belastingen</t>
  </si>
  <si>
    <t>Overboeking naar de uitgestelde belastingen</t>
  </si>
  <si>
    <t>Belastingen op het resultaat</t>
  </si>
  <si>
    <t>Winst of verlies van het boekjaar na belasting</t>
  </si>
  <si>
    <t>Energiegemeenschappen - begroting 1ste 2 boekjaren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</si>
</sst>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 &quot;€&quot;\ * #,##0.00_ ;_ &quot;€&quot;\ * \-#,##0.00_ ;_ &quot;€&quot;\ * &quot;-&quot;??_ ;_ @_ "/>
    <numFmt numFmtId="166" formatCode="[$€-2]\ #,##0;[Red]\-[$€-2]\ #,##0"/>
    <numFmt numFmtId="167" formatCode="#,##0\ &quot;€&quot;"/>
    <numFmt numFmtId="168" formatCode="0.0%"/>
    <numFmt numFmtId="169" formatCode="0.000000%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202124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6E9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B050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 style="medium">
        <color rgb="FF00B050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B050"/>
      </left>
      <right/>
      <top/>
      <bottom style="thin">
        <color indexed="64"/>
      </bottom>
      <diagonal/>
    </border>
    <border>
      <left style="medium">
        <color rgb="FF00B050"/>
      </left>
      <right/>
      <top style="thin">
        <color indexed="64"/>
      </top>
      <bottom style="thin">
        <color indexed="64"/>
      </bottom>
      <diagonal/>
    </border>
    <border>
      <left style="medium">
        <color rgb="FF00B05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4">
    <xf numFmtId="0" fontId="0" fillId="0" borderId="0" xfId="0"/>
    <xf numFmtId="4" fontId="0" fillId="0" borderId="4" xfId="0" applyNumberFormat="1" applyBorder="1"/>
    <xf numFmtId="4" fontId="0" fillId="0" borderId="4" xfId="0" applyNumberFormat="1" applyBorder="1" applyAlignment="1">
      <alignment wrapText="1"/>
    </xf>
    <xf numFmtId="165" fontId="0" fillId="0" borderId="0" xfId="1" applyFont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65" fontId="0" fillId="0" borderId="4" xfId="1" applyFont="1" applyBorder="1"/>
    <xf numFmtId="0" fontId="0" fillId="0" borderId="4" xfId="0" applyBorder="1"/>
    <xf numFmtId="165" fontId="0" fillId="0" borderId="4" xfId="0" applyNumberFormat="1" applyBorder="1"/>
    <xf numFmtId="0" fontId="0" fillId="0" borderId="4" xfId="0" applyBorder="1" applyAlignment="1">
      <alignment wrapText="1"/>
    </xf>
    <xf numFmtId="0" fontId="2" fillId="0" borderId="9" xfId="0" applyFont="1" applyBorder="1"/>
    <xf numFmtId="165" fontId="0" fillId="0" borderId="10" xfId="1" applyFont="1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3" xfId="0" applyBorder="1"/>
    <xf numFmtId="0" fontId="2" fillId="0" borderId="12" xfId="0" applyFont="1" applyBorder="1"/>
    <xf numFmtId="0" fontId="0" fillId="0" borderId="13" xfId="0" applyBorder="1" applyAlignment="1">
      <alignment wrapText="1"/>
    </xf>
    <xf numFmtId="0" fontId="0" fillId="0" borderId="17" xfId="0" applyBorder="1" applyAlignment="1">
      <alignment horizontal="right"/>
    </xf>
    <xf numFmtId="0" fontId="0" fillId="0" borderId="18" xfId="0" applyBorder="1"/>
    <xf numFmtId="0" fontId="0" fillId="0" borderId="19" xfId="0" applyBorder="1" applyAlignment="1">
      <alignment wrapText="1"/>
    </xf>
    <xf numFmtId="0" fontId="2" fillId="0" borderId="20" xfId="0" applyFont="1" applyBorder="1" applyAlignment="1">
      <alignment horizontal="right"/>
    </xf>
    <xf numFmtId="165" fontId="2" fillId="0" borderId="21" xfId="1" applyFont="1" applyBorder="1"/>
    <xf numFmtId="0" fontId="2" fillId="0" borderId="8" xfId="0" applyFont="1" applyBorder="1" applyAlignment="1">
      <alignment wrapText="1"/>
    </xf>
    <xf numFmtId="0" fontId="2" fillId="0" borderId="22" xfId="0" applyFont="1" applyBorder="1" applyAlignment="1">
      <alignment horizontal="right"/>
    </xf>
    <xf numFmtId="165" fontId="2" fillId="0" borderId="23" xfId="1" applyFont="1" applyBorder="1"/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5" fontId="2" fillId="0" borderId="4" xfId="1" applyFont="1" applyBorder="1"/>
    <xf numFmtId="0" fontId="0" fillId="0" borderId="10" xfId="0" applyBorder="1"/>
    <xf numFmtId="165" fontId="0" fillId="0" borderId="13" xfId="0" applyNumberFormat="1" applyBorder="1"/>
    <xf numFmtId="0" fontId="2" fillId="0" borderId="14" xfId="0" applyFont="1" applyBorder="1"/>
    <xf numFmtId="165" fontId="0" fillId="0" borderId="15" xfId="0" applyNumberFormat="1" applyBorder="1"/>
    <xf numFmtId="0" fontId="2" fillId="0" borderId="28" xfId="0" applyFont="1" applyBorder="1"/>
    <xf numFmtId="165" fontId="2" fillId="0" borderId="29" xfId="0" applyNumberFormat="1" applyFont="1" applyBorder="1"/>
    <xf numFmtId="165" fontId="0" fillId="0" borderId="13" xfId="1" applyFont="1" applyBorder="1"/>
    <xf numFmtId="165" fontId="2" fillId="0" borderId="13" xfId="1" applyFont="1" applyBorder="1"/>
    <xf numFmtId="165" fontId="0" fillId="0" borderId="16" xfId="0" applyNumberFormat="1" applyBorder="1"/>
    <xf numFmtId="165" fontId="2" fillId="0" borderId="30" xfId="0" applyNumberFormat="1" applyFont="1" applyBorder="1"/>
    <xf numFmtId="165" fontId="0" fillId="0" borderId="0" xfId="0" applyNumberFormat="1"/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13" xfId="2" applyFont="1" applyBorder="1"/>
    <xf numFmtId="4" fontId="0" fillId="0" borderId="34" xfId="0" applyNumberFormat="1" applyBorder="1"/>
    <xf numFmtId="4" fontId="0" fillId="0" borderId="34" xfId="0" applyNumberFormat="1" applyBorder="1" applyAlignment="1">
      <alignment wrapText="1"/>
    </xf>
    <xf numFmtId="4" fontId="0" fillId="0" borderId="40" xfId="0" applyNumberFormat="1" applyBorder="1" applyAlignment="1">
      <alignment wrapText="1"/>
    </xf>
    <xf numFmtId="4" fontId="0" fillId="0" borderId="40" xfId="0" applyNumberFormat="1" applyBorder="1"/>
    <xf numFmtId="4" fontId="0" fillId="2" borderId="40" xfId="0" applyNumberFormat="1" applyFill="1" applyBorder="1"/>
    <xf numFmtId="4" fontId="0" fillId="0" borderId="41" xfId="0" applyNumberFormat="1" applyBorder="1" applyAlignment="1">
      <alignment wrapText="1"/>
    </xf>
    <xf numFmtId="0" fontId="2" fillId="0" borderId="42" xfId="0" applyFont="1" applyBorder="1"/>
    <xf numFmtId="0" fontId="2" fillId="0" borderId="35" xfId="0" applyFont="1" applyBorder="1"/>
    <xf numFmtId="0" fontId="2" fillId="0" borderId="43" xfId="0" applyFont="1" applyBorder="1"/>
    <xf numFmtId="0" fontId="2" fillId="0" borderId="4" xfId="0" applyFont="1" applyBorder="1"/>
    <xf numFmtId="166" fontId="0" fillId="3" borderId="4" xfId="0" applyNumberFormat="1" applyFill="1" applyBorder="1"/>
    <xf numFmtId="0" fontId="2" fillId="0" borderId="36" xfId="0" applyFont="1" applyBorder="1"/>
    <xf numFmtId="0" fontId="2" fillId="0" borderId="17" xfId="0" applyFont="1" applyBorder="1"/>
    <xf numFmtId="0" fontId="2" fillId="0" borderId="15" xfId="0" applyFont="1" applyBorder="1"/>
    <xf numFmtId="9" fontId="0" fillId="3" borderId="35" xfId="0" applyNumberFormat="1" applyFill="1" applyBorder="1"/>
    <xf numFmtId="9" fontId="0" fillId="2" borderId="43" xfId="0" applyNumberFormat="1" applyFill="1" applyBorder="1"/>
    <xf numFmtId="9" fontId="2" fillId="0" borderId="54" xfId="0" applyNumberFormat="1" applyFont="1" applyBorder="1" applyAlignment="1">
      <alignment vertical="top"/>
    </xf>
    <xf numFmtId="9" fontId="0" fillId="0" borderId="54" xfId="0" applyNumberFormat="1" applyBorder="1" applyAlignment="1">
      <alignment horizontal="right" vertical="top"/>
    </xf>
    <xf numFmtId="9" fontId="0" fillId="0" borderId="39" xfId="0" applyNumberFormat="1" applyBorder="1" applyAlignment="1">
      <alignment horizontal="right" vertical="top"/>
    </xf>
    <xf numFmtId="9" fontId="0" fillId="0" borderId="55" xfId="0" applyNumberFormat="1" applyBorder="1" applyAlignment="1">
      <alignment horizontal="right" vertical="top"/>
    </xf>
    <xf numFmtId="9" fontId="0" fillId="0" borderId="4" xfId="0" applyNumberFormat="1" applyBorder="1" applyAlignment="1">
      <alignment horizontal="right" vertical="top"/>
    </xf>
    <xf numFmtId="0" fontId="0" fillId="5" borderId="4" xfId="0" applyFill="1" applyBorder="1"/>
    <xf numFmtId="0" fontId="0" fillId="5" borderId="37" xfId="0" applyFill="1" applyBorder="1"/>
    <xf numFmtId="4" fontId="0" fillId="5" borderId="4" xfId="0" applyNumberFormat="1" applyFill="1" applyBorder="1" applyAlignment="1">
      <alignment wrapText="1"/>
    </xf>
    <xf numFmtId="4" fontId="0" fillId="5" borderId="37" xfId="0" applyNumberFormat="1" applyFill="1" applyBorder="1" applyAlignment="1">
      <alignment wrapText="1"/>
    </xf>
    <xf numFmtId="0" fontId="0" fillId="5" borderId="18" xfId="0" applyFill="1" applyBorder="1"/>
    <xf numFmtId="0" fontId="0" fillId="5" borderId="38" xfId="0" applyFill="1" applyBorder="1"/>
    <xf numFmtId="4" fontId="0" fillId="5" borderId="35" xfId="0" applyNumberFormat="1" applyFill="1" applyBorder="1" applyAlignment="1">
      <alignment wrapText="1"/>
    </xf>
    <xf numFmtId="4" fontId="0" fillId="5" borderId="57" xfId="0" applyNumberFormat="1" applyFill="1" applyBorder="1" applyAlignment="1">
      <alignment wrapText="1"/>
    </xf>
    <xf numFmtId="0" fontId="6" fillId="0" borderId="0" xfId="0" applyFont="1" applyAlignment="1">
      <alignment vertical="center" wrapText="1"/>
    </xf>
    <xf numFmtId="9" fontId="0" fillId="0" borderId="56" xfId="0" applyNumberFormat="1" applyBorder="1" applyAlignment="1">
      <alignment vertical="top"/>
    </xf>
    <xf numFmtId="9" fontId="0" fillId="0" borderId="34" xfId="0" applyNumberFormat="1" applyBorder="1" applyAlignment="1">
      <alignment horizontal="right" vertical="top"/>
    </xf>
    <xf numFmtId="0" fontId="2" fillId="0" borderId="20" xfId="0" applyFont="1" applyBorder="1"/>
    <xf numFmtId="0" fontId="0" fillId="0" borderId="24" xfId="0" applyBorder="1"/>
    <xf numFmtId="0" fontId="0" fillId="0" borderId="59" xfId="0" applyBorder="1"/>
    <xf numFmtId="10" fontId="0" fillId="3" borderId="11" xfId="0" applyNumberFormat="1" applyFill="1" applyBorder="1"/>
    <xf numFmtId="10" fontId="0" fillId="3" borderId="13" xfId="0" applyNumberFormat="1" applyFill="1" applyBorder="1"/>
    <xf numFmtId="167" fontId="0" fillId="3" borderId="13" xfId="0" applyNumberFormat="1" applyFill="1" applyBorder="1"/>
    <xf numFmtId="167" fontId="0" fillId="3" borderId="19" xfId="0" applyNumberFormat="1" applyFill="1" applyBorder="1"/>
    <xf numFmtId="168" fontId="0" fillId="3" borderId="13" xfId="0" applyNumberFormat="1" applyFill="1" applyBorder="1"/>
    <xf numFmtId="9" fontId="0" fillId="3" borderId="13" xfId="0" applyNumberFormat="1" applyFill="1" applyBorder="1"/>
    <xf numFmtId="9" fontId="0" fillId="3" borderId="16" xfId="0" applyNumberFormat="1" applyFill="1" applyBorder="1"/>
    <xf numFmtId="49" fontId="13" fillId="0" borderId="49" xfId="0" applyNumberFormat="1" applyFont="1" applyBorder="1" applyAlignment="1">
      <alignment horizontal="right"/>
    </xf>
    <xf numFmtId="0" fontId="6" fillId="4" borderId="60" xfId="0" applyFont="1" applyFill="1" applyBorder="1" applyAlignment="1">
      <alignment vertical="center" wrapText="1"/>
    </xf>
    <xf numFmtId="49" fontId="14" fillId="0" borderId="61" xfId="0" applyNumberFormat="1" applyFont="1" applyBorder="1" applyAlignment="1">
      <alignment vertical="center" wrapText="1"/>
    </xf>
    <xf numFmtId="0" fontId="6" fillId="3" borderId="34" xfId="0" applyFont="1" applyFill="1" applyBorder="1" applyAlignment="1">
      <alignment vertical="center" wrapText="1"/>
    </xf>
    <xf numFmtId="49" fontId="14" fillId="0" borderId="40" xfId="0" applyNumberFormat="1" applyFont="1" applyBorder="1" applyAlignment="1">
      <alignment vertical="center" wrapText="1"/>
    </xf>
    <xf numFmtId="9" fontId="7" fillId="3" borderId="39" xfId="0" applyNumberFormat="1" applyFont="1" applyFill="1" applyBorder="1" applyAlignment="1">
      <alignment horizontal="center" vertical="top"/>
    </xf>
    <xf numFmtId="169" fontId="7" fillId="4" borderId="45" xfId="1" applyNumberFormat="1" applyFont="1" applyFill="1" applyBorder="1" applyAlignment="1">
      <alignment vertical="top"/>
    </xf>
    <xf numFmtId="170" fontId="7" fillId="0" borderId="39" xfId="0" applyNumberFormat="1" applyFont="1" applyBorder="1" applyAlignment="1">
      <alignment horizontal="center" vertical="top"/>
    </xf>
    <xf numFmtId="0" fontId="15" fillId="0" borderId="52" xfId="0" applyFont="1" applyBorder="1" applyAlignment="1">
      <alignment horizontal="left" vertical="top"/>
    </xf>
    <xf numFmtId="49" fontId="15" fillId="0" borderId="52" xfId="0" applyNumberFormat="1" applyFont="1" applyBorder="1" applyAlignment="1">
      <alignment horizontal="left" vertical="top"/>
    </xf>
    <xf numFmtId="49" fontId="15" fillId="0" borderId="52" xfId="0" applyNumberFormat="1" applyFont="1" applyBorder="1" applyAlignment="1">
      <alignment horizontal="left" vertical="center"/>
    </xf>
    <xf numFmtId="0" fontId="15" fillId="0" borderId="49" xfId="0" applyFont="1" applyBorder="1" applyAlignment="1">
      <alignment vertical="top"/>
    </xf>
    <xf numFmtId="49" fontId="15" fillId="0" borderId="49" xfId="0" applyNumberFormat="1" applyFont="1" applyBorder="1" applyAlignment="1">
      <alignment horizontal="left" vertical="center"/>
    </xf>
    <xf numFmtId="49" fontId="15" fillId="0" borderId="49" xfId="0" applyNumberFormat="1" applyFont="1" applyBorder="1" applyAlignment="1">
      <alignment horizontal="left" vertical="top"/>
    </xf>
    <xf numFmtId="0" fontId="16" fillId="0" borderId="49" xfId="0" applyFont="1" applyBorder="1" applyAlignment="1">
      <alignment horizontal="right" vertical="top"/>
    </xf>
    <xf numFmtId="0" fontId="13" fillId="0" borderId="47" xfId="0" applyFont="1" applyBorder="1" applyAlignment="1">
      <alignment horizontal="right"/>
    </xf>
    <xf numFmtId="9" fontId="2" fillId="0" borderId="66" xfId="0" applyNumberFormat="1" applyFont="1" applyBorder="1" applyAlignment="1">
      <alignment vertical="top"/>
    </xf>
    <xf numFmtId="165" fontId="13" fillId="0" borderId="68" xfId="1" applyFont="1" applyBorder="1" applyAlignment="1"/>
    <xf numFmtId="165" fontId="8" fillId="0" borderId="53" xfId="1" applyFont="1" applyBorder="1" applyAlignment="1">
      <alignment vertical="top"/>
    </xf>
    <xf numFmtId="165" fontId="0" fillId="0" borderId="53" xfId="1" applyFont="1" applyBorder="1" applyAlignment="1">
      <alignment vertical="top"/>
    </xf>
    <xf numFmtId="165" fontId="13" fillId="0" borderId="50" xfId="1" applyFont="1" applyBorder="1" applyAlignment="1">
      <alignment horizontal="right"/>
    </xf>
    <xf numFmtId="165" fontId="7" fillId="0" borderId="50" xfId="1" applyFont="1" applyBorder="1" applyAlignment="1">
      <alignment horizontal="left" vertical="top"/>
    </xf>
    <xf numFmtId="165" fontId="7" fillId="3" borderId="50" xfId="1" applyFont="1" applyFill="1" applyBorder="1" applyAlignment="1">
      <alignment horizontal="left" vertical="top"/>
    </xf>
    <xf numFmtId="0" fontId="7" fillId="0" borderId="50" xfId="1" applyNumberFormat="1" applyFont="1" applyFill="1" applyBorder="1" applyAlignment="1">
      <alignment horizontal="left" vertical="top"/>
    </xf>
    <xf numFmtId="0" fontId="7" fillId="0" borderId="69" xfId="0" applyFont="1" applyBorder="1" applyAlignment="1">
      <alignment horizontal="left"/>
    </xf>
    <xf numFmtId="2" fontId="7" fillId="4" borderId="50" xfId="1" applyNumberFormat="1" applyFont="1" applyFill="1" applyBorder="1" applyAlignment="1">
      <alignment horizontal="left" vertical="top"/>
    </xf>
    <xf numFmtId="14" fontId="7" fillId="3" borderId="50" xfId="1" applyNumberFormat="1" applyFont="1" applyFill="1" applyBorder="1" applyAlignment="1">
      <alignment horizontal="left" vertical="top"/>
    </xf>
    <xf numFmtId="0" fontId="7" fillId="3" borderId="50" xfId="1" applyNumberFormat="1" applyFont="1" applyFill="1" applyBorder="1" applyAlignment="1">
      <alignment horizontal="left" vertical="top"/>
    </xf>
    <xf numFmtId="0" fontId="7" fillId="0" borderId="51" xfId="1" applyNumberFormat="1" applyFont="1" applyFill="1" applyBorder="1" applyAlignment="1">
      <alignment horizontal="left" vertical="top"/>
    </xf>
    <xf numFmtId="0" fontId="7" fillId="0" borderId="13" xfId="1" applyNumberFormat="1" applyFont="1" applyFill="1" applyBorder="1" applyAlignment="1">
      <alignment horizontal="left" vertical="top"/>
    </xf>
    <xf numFmtId="0" fontId="17" fillId="0" borderId="58" xfId="0" applyFont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/>
    </xf>
    <xf numFmtId="0" fontId="17" fillId="0" borderId="58" xfId="0" applyFont="1" applyBorder="1" applyAlignment="1">
      <alignment vertical="top" wrapText="1"/>
    </xf>
    <xf numFmtId="0" fontId="17" fillId="0" borderId="62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4" borderId="37" xfId="0" applyFont="1" applyFill="1" applyBorder="1" applyAlignment="1">
      <alignment horizontal="center"/>
    </xf>
    <xf numFmtId="0" fontId="17" fillId="0" borderId="62" xfId="0" applyFont="1" applyBorder="1" applyAlignment="1">
      <alignment vertical="top" wrapText="1"/>
    </xf>
    <xf numFmtId="0" fontId="17" fillId="0" borderId="64" xfId="0" applyFont="1" applyBorder="1" applyAlignment="1">
      <alignment horizontal="center" vertical="top"/>
    </xf>
    <xf numFmtId="0" fontId="17" fillId="0" borderId="70" xfId="0" applyFont="1" applyBorder="1" applyAlignment="1">
      <alignment horizontal="center" vertical="top" wrapText="1"/>
    </xf>
    <xf numFmtId="49" fontId="15" fillId="0" borderId="71" xfId="0" applyNumberFormat="1" applyFont="1" applyBorder="1" applyAlignment="1">
      <alignment horizontal="left" vertical="top"/>
    </xf>
    <xf numFmtId="165" fontId="7" fillId="3" borderId="62" xfId="1" applyFont="1" applyFill="1" applyBorder="1" applyAlignment="1">
      <alignment horizontal="left" vertical="top"/>
    </xf>
    <xf numFmtId="0" fontId="0" fillId="0" borderId="12" xfId="0" applyBorder="1"/>
    <xf numFmtId="0" fontId="0" fillId="0" borderId="46" xfId="0" applyBorder="1"/>
    <xf numFmtId="0" fontId="0" fillId="0" borderId="5" xfId="0" applyBorder="1"/>
    <xf numFmtId="0" fontId="9" fillId="0" borderId="22" xfId="0" applyFont="1" applyBorder="1"/>
    <xf numFmtId="4" fontId="9" fillId="0" borderId="44" xfId="0" applyNumberFormat="1" applyFont="1" applyBorder="1" applyAlignment="1">
      <alignment wrapText="1"/>
    </xf>
    <xf numFmtId="0" fontId="21" fillId="0" borderId="0" xfId="0" applyFont="1"/>
    <xf numFmtId="0" fontId="9" fillId="0" borderId="7" xfId="0" applyFont="1" applyBorder="1" applyAlignment="1">
      <alignment horizontal="right"/>
    </xf>
    <xf numFmtId="0" fontId="2" fillId="0" borderId="18" xfId="0" applyFont="1" applyBorder="1"/>
    <xf numFmtId="4" fontId="0" fillId="0" borderId="72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0" fillId="0" borderId="73" xfId="0" applyNumberFormat="1" applyBorder="1" applyAlignment="1">
      <alignment wrapText="1"/>
    </xf>
    <xf numFmtId="4" fontId="0" fillId="5" borderId="43" xfId="0" applyNumberFormat="1" applyFill="1" applyBorder="1" applyAlignment="1">
      <alignment wrapText="1"/>
    </xf>
    <xf numFmtId="9" fontId="0" fillId="3" borderId="46" xfId="0" applyNumberFormat="1" applyFill="1" applyBorder="1"/>
    <xf numFmtId="9" fontId="0" fillId="3" borderId="57" xfId="0" applyNumberFormat="1" applyFill="1" applyBorder="1"/>
    <xf numFmtId="0" fontId="0" fillId="5" borderId="15" xfId="0" applyFill="1" applyBorder="1"/>
    <xf numFmtId="0" fontId="0" fillId="5" borderId="16" xfId="0" applyFill="1" applyBorder="1"/>
    <xf numFmtId="4" fontId="9" fillId="0" borderId="21" xfId="0" applyNumberFormat="1" applyFont="1" applyBorder="1" applyAlignment="1">
      <alignment wrapText="1"/>
    </xf>
    <xf numFmtId="4" fontId="9" fillId="0" borderId="20" xfId="0" applyNumberFormat="1" applyFont="1" applyBorder="1" applyAlignment="1">
      <alignment wrapText="1"/>
    </xf>
    <xf numFmtId="4" fontId="9" fillId="0" borderId="20" xfId="0" applyNumberFormat="1" applyFont="1" applyBorder="1"/>
    <xf numFmtId="4" fontId="9" fillId="0" borderId="7" xfId="0" applyNumberFormat="1" applyFont="1" applyBorder="1"/>
    <xf numFmtId="0" fontId="12" fillId="8" borderId="20" xfId="0" applyFont="1" applyFill="1" applyBorder="1" applyAlignment="1">
      <alignment horizontal="right"/>
    </xf>
    <xf numFmtId="0" fontId="12" fillId="8" borderId="7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right"/>
    </xf>
    <xf numFmtId="0" fontId="12" fillId="8" borderId="3" xfId="0" applyFont="1" applyFill="1" applyBorder="1" applyAlignment="1">
      <alignment horizontal="right" wrapText="1"/>
    </xf>
    <xf numFmtId="0" fontId="12" fillId="8" borderId="7" xfId="0" applyFont="1" applyFill="1" applyBorder="1" applyAlignment="1">
      <alignment horizontal="right" wrapText="1"/>
    </xf>
    <xf numFmtId="0" fontId="12" fillId="8" borderId="20" xfId="0" applyFont="1" applyFill="1" applyBorder="1" applyAlignment="1">
      <alignment horizontal="right" wrapText="1"/>
    </xf>
    <xf numFmtId="0" fontId="12" fillId="8" borderId="65" xfId="0" applyFont="1" applyFill="1" applyBorder="1" applyAlignment="1">
      <alignment horizontal="center" vertical="top"/>
    </xf>
    <xf numFmtId="0" fontId="12" fillId="8" borderId="66" xfId="0" applyFont="1" applyFill="1" applyBorder="1" applyAlignment="1">
      <alignment horizontal="center" vertical="top"/>
    </xf>
    <xf numFmtId="0" fontId="12" fillId="8" borderId="67" xfId="0" applyFont="1" applyFill="1" applyBorder="1" applyAlignment="1">
      <alignment horizontal="center" vertical="top"/>
    </xf>
    <xf numFmtId="0" fontId="12" fillId="8" borderId="48" xfId="0" applyFont="1" applyFill="1" applyBorder="1" applyAlignment="1">
      <alignment horizontal="center" vertical="top"/>
    </xf>
    <xf numFmtId="0" fontId="22" fillId="0" borderId="0" xfId="0" applyFont="1" applyAlignment="1">
      <alignment horizontal="right"/>
    </xf>
    <xf numFmtId="4" fontId="0" fillId="0" borderId="61" xfId="0" applyNumberFormat="1" applyBorder="1" applyAlignment="1">
      <alignment wrapText="1"/>
    </xf>
    <xf numFmtId="4" fontId="0" fillId="0" borderId="36" xfId="0" applyNumberFormat="1" applyBorder="1"/>
    <xf numFmtId="4" fontId="0" fillId="0" borderId="36" xfId="0" applyNumberFormat="1" applyBorder="1" applyAlignment="1">
      <alignment wrapText="1"/>
    </xf>
    <xf numFmtId="4" fontId="0" fillId="0" borderId="60" xfId="0" applyNumberFormat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12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0" fontId="12" fillId="0" borderId="42" xfId="0" applyFont="1" applyBorder="1" applyAlignment="1">
      <alignment horizontal="center"/>
    </xf>
    <xf numFmtId="0" fontId="12" fillId="0" borderId="36" xfId="0" applyFont="1" applyBorder="1" applyAlignment="1">
      <alignment horizontal="right"/>
    </xf>
    <xf numFmtId="0" fontId="12" fillId="0" borderId="61" xfId="0" applyFont="1" applyBorder="1" applyAlignment="1">
      <alignment horizontal="right" wrapText="1"/>
    </xf>
    <xf numFmtId="0" fontId="12" fillId="0" borderId="36" xfId="0" applyFont="1" applyBorder="1" applyAlignment="1">
      <alignment horizontal="right" wrapText="1"/>
    </xf>
    <xf numFmtId="0" fontId="12" fillId="0" borderId="60" xfId="0" applyFont="1" applyBorder="1" applyAlignment="1">
      <alignment horizontal="right" wrapText="1"/>
    </xf>
    <xf numFmtId="0" fontId="12" fillId="0" borderId="63" xfId="0" applyFont="1" applyBorder="1" applyAlignment="1">
      <alignment horizontal="right" wrapText="1"/>
    </xf>
    <xf numFmtId="0" fontId="7" fillId="0" borderId="13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right" wrapText="1"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 wrapText="1"/>
    </xf>
    <xf numFmtId="0" fontId="0" fillId="3" borderId="2" xfId="0" applyFill="1" applyBorder="1"/>
    <xf numFmtId="0" fontId="0" fillId="3" borderId="12" xfId="0" applyFill="1" applyBorder="1"/>
    <xf numFmtId="0" fontId="0" fillId="0" borderId="36" xfId="0" applyBorder="1"/>
    <xf numFmtId="0" fontId="0" fillId="0" borderId="63" xfId="0" applyBorder="1"/>
    <xf numFmtId="4" fontId="0" fillId="0" borderId="35" xfId="0" applyNumberFormat="1" applyBorder="1"/>
    <xf numFmtId="0" fontId="0" fillId="0" borderId="37" xfId="0" applyBorder="1"/>
    <xf numFmtId="4" fontId="0" fillId="0" borderId="37" xfId="0" applyNumberFormat="1" applyBorder="1"/>
    <xf numFmtId="4" fontId="0" fillId="0" borderId="13" xfId="0" applyNumberFormat="1" applyBorder="1"/>
    <xf numFmtId="4" fontId="0" fillId="0" borderId="12" xfId="0" applyNumberFormat="1" applyBorder="1" applyAlignment="1">
      <alignment wrapText="1"/>
    </xf>
    <xf numFmtId="4" fontId="0" fillId="0" borderId="37" xfId="0" applyNumberFormat="1" applyBorder="1" applyAlignment="1">
      <alignment wrapText="1"/>
    </xf>
    <xf numFmtId="0" fontId="0" fillId="9" borderId="18" xfId="0" applyFill="1" applyBorder="1"/>
    <xf numFmtId="0" fontId="12" fillId="10" borderId="7" xfId="0" applyFont="1" applyFill="1" applyBorder="1" applyAlignment="1">
      <alignment horizontal="right" wrapText="1"/>
    </xf>
    <xf numFmtId="0" fontId="0" fillId="6" borderId="12" xfId="0" applyFill="1" applyBorder="1"/>
    <xf numFmtId="10" fontId="0" fillId="0" borderId="35" xfId="0" applyNumberFormat="1" applyBorder="1"/>
    <xf numFmtId="168" fontId="7" fillId="3" borderId="15" xfId="0" applyNumberFormat="1" applyFont="1" applyFill="1" applyBorder="1" applyAlignment="1">
      <alignment horizontal="center" vertical="top"/>
    </xf>
    <xf numFmtId="0" fontId="21" fillId="0" borderId="52" xfId="0" applyFont="1" applyBorder="1" applyAlignment="1">
      <alignment horizontal="left" vertical="top"/>
    </xf>
    <xf numFmtId="49" fontId="21" fillId="0" borderId="52" xfId="0" applyNumberFormat="1" applyFont="1" applyBorder="1" applyAlignment="1">
      <alignment horizontal="left" vertical="top"/>
    </xf>
    <xf numFmtId="49" fontId="21" fillId="0" borderId="52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right" vertical="top"/>
    </xf>
    <xf numFmtId="0" fontId="9" fillId="0" borderId="49" xfId="0" applyFont="1" applyBorder="1" applyAlignment="1">
      <alignment vertical="top"/>
    </xf>
    <xf numFmtId="0" fontId="21" fillId="0" borderId="31" xfId="0" applyFont="1" applyBorder="1" applyAlignment="1">
      <alignment horizontal="left"/>
    </xf>
    <xf numFmtId="0" fontId="21" fillId="3" borderId="32" xfId="0" applyFont="1" applyFill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3" borderId="33" xfId="0" applyFont="1" applyFill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1" fillId="0" borderId="39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9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top"/>
    </xf>
    <xf numFmtId="165" fontId="2" fillId="0" borderId="53" xfId="1" applyFont="1" applyBorder="1" applyAlignment="1">
      <alignment vertical="top"/>
    </xf>
    <xf numFmtId="165" fontId="1" fillId="0" borderId="53" xfId="1" applyFont="1" applyBorder="1" applyAlignment="1">
      <alignment vertical="top"/>
    </xf>
    <xf numFmtId="165" fontId="1" fillId="3" borderId="50" xfId="1" applyFont="1" applyFill="1" applyBorder="1" applyAlignment="1">
      <alignment horizontal="left" vertical="center"/>
    </xf>
    <xf numFmtId="165" fontId="0" fillId="3" borderId="50" xfId="0" applyNumberFormat="1" applyFill="1" applyBorder="1" applyAlignment="1">
      <alignment vertical="top"/>
    </xf>
    <xf numFmtId="165" fontId="0" fillId="3" borderId="50" xfId="0" applyNumberFormat="1" applyFill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/>
    <xf numFmtId="4" fontId="9" fillId="0" borderId="0" xfId="0" applyNumberFormat="1" applyFont="1" applyAlignment="1">
      <alignment wrapText="1"/>
    </xf>
    <xf numFmtId="4" fontId="9" fillId="0" borderId="0" xfId="0" applyNumberFormat="1" applyFont="1"/>
    <xf numFmtId="0" fontId="9" fillId="0" borderId="74" xfId="0" applyFont="1" applyBorder="1"/>
    <xf numFmtId="0" fontId="9" fillId="0" borderId="59" xfId="0" applyFont="1" applyBorder="1"/>
    <xf numFmtId="49" fontId="21" fillId="0" borderId="49" xfId="0" applyNumberFormat="1" applyFont="1" applyBorder="1" applyAlignment="1">
      <alignment horizontal="left" vertical="top"/>
    </xf>
    <xf numFmtId="165" fontId="1" fillId="0" borderId="50" xfId="1" applyFont="1" applyBorder="1" applyAlignment="1">
      <alignment horizontal="left" vertical="top"/>
    </xf>
    <xf numFmtId="165" fontId="1" fillId="3" borderId="50" xfId="1" applyFont="1" applyFill="1" applyBorder="1" applyAlignment="1">
      <alignment horizontal="left" vertical="top"/>
    </xf>
    <xf numFmtId="0" fontId="1" fillId="0" borderId="50" xfId="1" applyNumberFormat="1" applyFont="1" applyFill="1" applyBorder="1" applyAlignment="1">
      <alignment horizontal="left" vertical="top"/>
    </xf>
    <xf numFmtId="1" fontId="7" fillId="0" borderId="50" xfId="1" applyNumberFormat="1" applyFont="1" applyBorder="1" applyAlignment="1">
      <alignment horizontal="right" vertical="top"/>
    </xf>
    <xf numFmtId="0" fontId="13" fillId="0" borderId="47" xfId="0" applyFont="1" applyBorder="1" applyAlignment="1">
      <alignment horizontal="right" vertical="top"/>
    </xf>
    <xf numFmtId="0" fontId="0" fillId="0" borderId="0" xfId="0" applyAlignment="1">
      <alignment vertical="top"/>
    </xf>
    <xf numFmtId="169" fontId="7" fillId="4" borderId="39" xfId="1" applyNumberFormat="1" applyFont="1" applyFill="1" applyBorder="1" applyAlignment="1">
      <alignment vertical="top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6" xfId="0" applyBorder="1" applyAlignment="1">
      <alignment horizontal="center"/>
    </xf>
    <xf numFmtId="165" fontId="0" fillId="0" borderId="69" xfId="1" applyFont="1" applyBorder="1" applyAlignment="1">
      <alignment horizontal="center"/>
    </xf>
    <xf numFmtId="0" fontId="2" fillId="12" borderId="20" xfId="0" applyFont="1" applyFill="1" applyBorder="1" applyAlignment="1">
      <alignment horizontal="center"/>
    </xf>
    <xf numFmtId="0" fontId="0" fillId="12" borderId="21" xfId="0" applyFill="1" applyBorder="1"/>
    <xf numFmtId="10" fontId="2" fillId="12" borderId="7" xfId="0" applyNumberFormat="1" applyFont="1" applyFill="1" applyBorder="1" applyAlignment="1">
      <alignment horizontal="center"/>
    </xf>
    <xf numFmtId="165" fontId="0" fillId="12" borderId="8" xfId="1" applyFont="1" applyFill="1" applyBorder="1" applyAlignment="1">
      <alignment horizontal="center"/>
    </xf>
    <xf numFmtId="10" fontId="2" fillId="12" borderId="8" xfId="0" applyNumberFormat="1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top"/>
    </xf>
    <xf numFmtId="0" fontId="10" fillId="7" borderId="3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/>
    </xf>
    <xf numFmtId="0" fontId="20" fillId="7" borderId="21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9" borderId="21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6" xfId="0" applyFont="1" applyBorder="1" applyAlignment="1"/>
  </cellXfs>
  <cellStyles count="3">
    <cellStyle name="Komma" xfId="2" builtinId="3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D6DCE4"/>
      <color rgb="FFE6E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ex Polfliet" id="{D61455C9-F050-4C9C-AD92-3B81C9E0B79F}" userId="Alex Polfliet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7" dT="2019-05-19T16:50:18.63" personId="{D61455C9-F050-4C9C-AD92-3B81C9E0B79F}" id="{106D7E72-4E77-4F8C-A735-BE5FE1F9A6F6}">
    <text>eenmalig want omvormergarantie voor 10 jr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1292-06FB-4B6A-AEDD-C0EDEECCAC4A}">
  <dimension ref="A1:E82"/>
  <sheetViews>
    <sheetView zoomScale="140" zoomScaleNormal="140" workbookViewId="0">
      <selection activeCell="E11" sqref="E11"/>
    </sheetView>
  </sheetViews>
  <sheetFormatPr defaultRowHeight="14.45"/>
  <cols>
    <col min="1" max="1" width="51" bestFit="1" customWidth="1"/>
    <col min="2" max="2" width="11.7109375" bestFit="1" customWidth="1"/>
    <col min="3" max="3" width="17.5703125" bestFit="1" customWidth="1"/>
    <col min="4" max="4" width="54.7109375" customWidth="1"/>
    <col min="5" max="5" width="10.140625" bestFit="1" customWidth="1"/>
  </cols>
  <sheetData>
    <row r="1" spans="1:4" ht="21.6" thickBot="1">
      <c r="A1" s="242" t="s">
        <v>0</v>
      </c>
      <c r="B1" s="243"/>
      <c r="C1" s="244"/>
      <c r="D1" s="245"/>
    </row>
    <row r="2" spans="1:4" ht="18.600000000000001" thickBot="1">
      <c r="A2" s="156" t="s">
        <v>1</v>
      </c>
      <c r="B2" s="157" t="s">
        <v>2</v>
      </c>
      <c r="C2" s="158" t="s">
        <v>3</v>
      </c>
      <c r="D2" s="159" t="s">
        <v>4</v>
      </c>
    </row>
    <row r="3" spans="1:4" s="231" customFormat="1" ht="17.45" customHeight="1">
      <c r="A3" s="230" t="s">
        <v>5</v>
      </c>
      <c r="B3" s="103"/>
      <c r="C3" s="105">
        <f>Cashflow!C3</f>
        <v>250000</v>
      </c>
      <c r="D3" s="117" t="s">
        <v>6</v>
      </c>
    </row>
    <row r="4" spans="1:4" ht="15.6">
      <c r="A4" s="95" t="s">
        <v>7</v>
      </c>
      <c r="B4" s="76"/>
      <c r="C4" s="179">
        <f>Cashflow!C4</f>
        <v>440</v>
      </c>
      <c r="D4" s="118" t="s">
        <v>8</v>
      </c>
    </row>
    <row r="5" spans="1:4" ht="15.6">
      <c r="A5" s="95" t="s">
        <v>9</v>
      </c>
      <c r="B5" s="76"/>
      <c r="C5" s="179">
        <f>Cashflow!C5</f>
        <v>400</v>
      </c>
      <c r="D5" s="118" t="s">
        <v>10</v>
      </c>
    </row>
    <row r="6" spans="1:4" ht="15.6">
      <c r="A6" s="95" t="s">
        <v>11</v>
      </c>
      <c r="B6" s="76"/>
      <c r="C6" s="179">
        <f>Cashflow!C6</f>
        <v>250</v>
      </c>
      <c r="D6" s="118" t="s">
        <v>12</v>
      </c>
    </row>
    <row r="7" spans="1:4" ht="15.6">
      <c r="A7" s="96" t="s">
        <v>13</v>
      </c>
      <c r="B7" s="76"/>
      <c r="C7" s="179">
        <f>Cashflow!C7</f>
        <v>1.67</v>
      </c>
      <c r="D7" s="118" t="s">
        <v>14</v>
      </c>
    </row>
    <row r="8" spans="1:4" ht="15.6">
      <c r="A8" s="95" t="s">
        <v>15</v>
      </c>
      <c r="B8" s="76"/>
      <c r="C8" s="179">
        <f>Cashflow!C8</f>
        <v>1760</v>
      </c>
      <c r="D8" s="118"/>
    </row>
    <row r="9" spans="1:4" ht="15.6">
      <c r="A9" s="96" t="s">
        <v>16</v>
      </c>
      <c r="B9" s="76"/>
      <c r="C9" s="179">
        <f>Cashflow!C9</f>
        <v>2939.2</v>
      </c>
      <c r="D9" s="118" t="s">
        <v>14</v>
      </c>
    </row>
    <row r="10" spans="1:4" ht="36">
      <c r="A10" s="97" t="s">
        <v>17</v>
      </c>
      <c r="B10" s="76"/>
      <c r="C10" s="179">
        <f>Cashflow!C10</f>
        <v>920</v>
      </c>
      <c r="D10" s="117" t="s">
        <v>18</v>
      </c>
    </row>
    <row r="11" spans="1:4" ht="15.6">
      <c r="A11" s="96" t="s">
        <v>19</v>
      </c>
      <c r="B11" s="76"/>
      <c r="C11" s="179">
        <f>Cashflow!C11</f>
        <v>404.8</v>
      </c>
      <c r="D11" s="118" t="s">
        <v>20</v>
      </c>
    </row>
    <row r="12" spans="1:4" ht="14.25" customHeight="1">
      <c r="A12" s="101" t="s">
        <v>21</v>
      </c>
      <c r="B12" s="75"/>
      <c r="C12" s="105">
        <f>Cashflow!C12</f>
        <v>300000</v>
      </c>
      <c r="D12" s="119"/>
    </row>
    <row r="13" spans="1:4" ht="14.25" customHeight="1">
      <c r="A13" s="98" t="s">
        <v>22</v>
      </c>
      <c r="B13" s="75"/>
      <c r="C13" s="106"/>
      <c r="D13" s="125"/>
    </row>
    <row r="14" spans="1:4" ht="15.6">
      <c r="A14" s="99" t="s">
        <v>23</v>
      </c>
      <c r="B14" s="62"/>
      <c r="C14" s="108">
        <f>Cashflow!C14</f>
        <v>229900</v>
      </c>
      <c r="D14" s="127" t="s">
        <v>24</v>
      </c>
    </row>
    <row r="15" spans="1:4" ht="15.6">
      <c r="A15" s="99" t="s">
        <v>25</v>
      </c>
      <c r="B15" s="62"/>
      <c r="C15" s="108">
        <f>Cashflow!C15</f>
        <v>13500</v>
      </c>
      <c r="D15" s="126" t="s">
        <v>26</v>
      </c>
    </row>
    <row r="16" spans="1:4" ht="15.6">
      <c r="A16" s="100" t="s">
        <v>25</v>
      </c>
      <c r="B16" s="62"/>
      <c r="C16" s="108">
        <f>Cashflow!C16</f>
        <v>6600</v>
      </c>
      <c r="D16" s="118" t="s">
        <v>27</v>
      </c>
    </row>
    <row r="17" spans="1:5" ht="24">
      <c r="A17" s="99" t="s">
        <v>28</v>
      </c>
      <c r="B17" s="62"/>
      <c r="C17" s="108">
        <f>Cashflow!C17</f>
        <v>7500</v>
      </c>
      <c r="D17" s="117" t="s">
        <v>29</v>
      </c>
    </row>
    <row r="18" spans="1:5" ht="17.45">
      <c r="A18" s="87" t="s">
        <v>30</v>
      </c>
      <c r="B18" s="61"/>
      <c r="C18" s="105">
        <f>Cashflow!C18</f>
        <v>250000</v>
      </c>
      <c r="D18" s="117" t="s">
        <v>31</v>
      </c>
      <c r="E18" s="40"/>
    </row>
    <row r="19" spans="1:5" ht="15.6">
      <c r="A19" s="100" t="s">
        <v>32</v>
      </c>
      <c r="B19" s="62"/>
      <c r="C19" s="108">
        <f>Cashflow!C19</f>
        <v>5000</v>
      </c>
      <c r="D19" s="117" t="s">
        <v>33</v>
      </c>
      <c r="E19" s="40"/>
    </row>
    <row r="20" spans="1:5" ht="15.6">
      <c r="A20" s="100" t="s">
        <v>34</v>
      </c>
      <c r="B20" s="62"/>
      <c r="C20" s="108">
        <f>Cashflow!C20</f>
        <v>1000</v>
      </c>
      <c r="D20" s="117"/>
      <c r="E20" s="40"/>
    </row>
    <row r="21" spans="1:5" ht="15.6">
      <c r="A21" s="100" t="s">
        <v>35</v>
      </c>
      <c r="B21" s="62"/>
      <c r="C21" s="108">
        <f>Cashflow!C21</f>
        <v>250</v>
      </c>
      <c r="D21" s="117"/>
      <c r="E21" s="40"/>
    </row>
    <row r="22" spans="1:5" ht="15.6">
      <c r="A22" s="100" t="s">
        <v>36</v>
      </c>
      <c r="B22" s="62"/>
      <c r="C22" s="229">
        <f>Cashflow!C22</f>
        <v>20</v>
      </c>
      <c r="D22" s="120" t="s">
        <v>33</v>
      </c>
      <c r="E22" s="40"/>
    </row>
    <row r="23" spans="1:5" ht="15.6">
      <c r="A23" s="100" t="s">
        <v>37</v>
      </c>
      <c r="B23" s="63"/>
      <c r="C23" s="229">
        <f>Cashflow!C23</f>
        <v>250</v>
      </c>
      <c r="D23" s="121"/>
      <c r="E23" s="40"/>
    </row>
    <row r="24" spans="1:5" ht="15.6">
      <c r="A24" s="100" t="s">
        <v>38</v>
      </c>
      <c r="B24" s="63"/>
      <c r="C24" s="229">
        <f>Cashflow!C24</f>
        <v>50</v>
      </c>
      <c r="D24" s="122" t="s">
        <v>33</v>
      </c>
      <c r="E24" s="40"/>
    </row>
    <row r="25" spans="1:5" ht="15.6">
      <c r="A25" s="100" t="s">
        <v>39</v>
      </c>
      <c r="B25" s="92">
        <f>Cashflow!B31</f>
        <v>0.5</v>
      </c>
      <c r="C25" s="109">
        <f>Cashflow!C31</f>
        <v>85</v>
      </c>
      <c r="D25" s="122"/>
      <c r="E25" s="40"/>
    </row>
    <row r="26" spans="1:5" ht="15.6">
      <c r="A26" s="100" t="s">
        <v>40</v>
      </c>
      <c r="B26" s="92">
        <f>Cashflow!B32</f>
        <v>0.5</v>
      </c>
      <c r="C26" s="109">
        <f>Cashflow!C32</f>
        <v>50</v>
      </c>
      <c r="D26" s="122"/>
      <c r="E26" s="40"/>
    </row>
    <row r="27" spans="1:5" ht="14.25" customHeight="1">
      <c r="A27" s="100" t="s">
        <v>41</v>
      </c>
      <c r="B27" s="93">
        <v>9.9371374084111203E-2</v>
      </c>
      <c r="C27" s="111"/>
      <c r="D27" s="122"/>
      <c r="E27" s="40"/>
    </row>
    <row r="28" spans="1:5" ht="14.25" customHeight="1">
      <c r="A28" s="100" t="s">
        <v>42</v>
      </c>
      <c r="B28" s="232"/>
      <c r="C28" s="111"/>
      <c r="D28" s="122"/>
      <c r="E28" s="40"/>
    </row>
    <row r="29" spans="1:5" ht="14.25" customHeight="1">
      <c r="A29" s="100" t="s">
        <v>43</v>
      </c>
      <c r="B29" s="232"/>
      <c r="C29" s="111"/>
      <c r="D29" s="122"/>
      <c r="E29" s="40"/>
    </row>
    <row r="30" spans="1:5" ht="15.6">
      <c r="A30" s="100" t="s">
        <v>44</v>
      </c>
      <c r="B30" s="63"/>
      <c r="C30" s="112">
        <v>8.7135567750000007</v>
      </c>
      <c r="D30" s="121" t="s">
        <v>45</v>
      </c>
      <c r="E30" s="40"/>
    </row>
    <row r="31" spans="1:5" ht="15.6">
      <c r="A31" s="100" t="s">
        <v>46</v>
      </c>
      <c r="B31" s="63"/>
      <c r="C31" s="113"/>
      <c r="D31" s="122"/>
      <c r="E31" s="40"/>
    </row>
    <row r="32" spans="1:5" ht="15.6">
      <c r="A32" s="100" t="s">
        <v>47</v>
      </c>
      <c r="B32" s="63"/>
      <c r="C32" s="114">
        <v>15</v>
      </c>
      <c r="D32" s="121" t="s">
        <v>45</v>
      </c>
      <c r="E32" s="40"/>
    </row>
    <row r="33" spans="1:5" ht="15.6">
      <c r="A33" s="100" t="s">
        <v>48</v>
      </c>
      <c r="B33" s="92">
        <v>0.06</v>
      </c>
      <c r="C33" s="110"/>
      <c r="D33" s="121" t="s">
        <v>49</v>
      </c>
      <c r="E33" s="40"/>
    </row>
    <row r="34" spans="1:5" ht="15.6">
      <c r="A34" s="100" t="s">
        <v>50</v>
      </c>
      <c r="B34" s="94">
        <f>B27-B33</f>
        <v>3.9371374084111205E-2</v>
      </c>
      <c r="C34" s="110"/>
      <c r="D34" s="121"/>
      <c r="E34" s="40"/>
    </row>
    <row r="35" spans="1:5" ht="15.6">
      <c r="A35" s="100" t="s">
        <v>51</v>
      </c>
      <c r="B35" s="64"/>
      <c r="C35" s="115"/>
      <c r="D35" s="123"/>
      <c r="E35" s="40"/>
    </row>
    <row r="36" spans="1:5" ht="15.6">
      <c r="A36" s="96" t="s">
        <v>52</v>
      </c>
      <c r="B36" s="65"/>
      <c r="C36" s="116"/>
      <c r="D36" s="121"/>
      <c r="E36" s="40"/>
    </row>
    <row r="37" spans="1:5" ht="15.6">
      <c r="A37" s="96" t="s">
        <v>53</v>
      </c>
      <c r="B37" s="65"/>
      <c r="C37" s="116" t="s">
        <v>54</v>
      </c>
      <c r="D37" s="124" t="s">
        <v>55</v>
      </c>
      <c r="E37" s="40"/>
    </row>
    <row r="38" spans="1:5" ht="16.149999999999999" thickBot="1">
      <c r="A38" s="128" t="s">
        <v>56</v>
      </c>
      <c r="B38" s="198">
        <v>2E-3</v>
      </c>
      <c r="C38" s="129">
        <f>Cashflow!D29</f>
        <v>-500</v>
      </c>
      <c r="D38" s="123" t="s">
        <v>57</v>
      </c>
      <c r="E38" s="40"/>
    </row>
    <row r="39" spans="1:5" ht="43.5" customHeight="1" thickBot="1">
      <c r="A39" s="248" t="s">
        <v>58</v>
      </c>
      <c r="B39" s="249"/>
      <c r="C39" s="249"/>
      <c r="D39" s="250"/>
    </row>
    <row r="40" spans="1:5" ht="60.75" customHeight="1" thickBot="1">
      <c r="A40" s="248" t="s">
        <v>59</v>
      </c>
      <c r="B40" s="251"/>
      <c r="C40" s="251"/>
      <c r="D40" s="252"/>
    </row>
    <row r="42" spans="1:5" ht="16.5" customHeight="1" thickBot="1">
      <c r="A42" s="74"/>
      <c r="B42" s="74"/>
      <c r="C42" s="74"/>
      <c r="D42" s="74"/>
      <c r="E42" s="74"/>
    </row>
    <row r="43" spans="1:5" ht="15" customHeight="1">
      <c r="A43" s="74"/>
      <c r="B43" s="246" t="s">
        <v>60</v>
      </c>
      <c r="C43" s="247"/>
      <c r="D43" s="74"/>
      <c r="E43" s="74"/>
    </row>
    <row r="44" spans="1:5" ht="15" customHeight="1">
      <c r="A44" s="74"/>
      <c r="B44" s="90"/>
      <c r="C44" s="91" t="s">
        <v>61</v>
      </c>
      <c r="D44" s="74"/>
      <c r="E44" s="74"/>
    </row>
    <row r="45" spans="1:5" ht="15" customHeight="1">
      <c r="A45" s="74"/>
      <c r="B45" s="88"/>
      <c r="C45" s="89" t="s">
        <v>62</v>
      </c>
      <c r="D45" s="74"/>
      <c r="E45" s="74"/>
    </row>
    <row r="46" spans="1:5" ht="15" customHeight="1">
      <c r="A46" s="74"/>
      <c r="B46" s="74"/>
      <c r="C46" s="74"/>
      <c r="D46" s="74"/>
      <c r="E46" s="74"/>
    </row>
    <row r="47" spans="1:5" ht="15" customHeight="1">
      <c r="A47" s="74"/>
      <c r="B47" s="74"/>
      <c r="C47" s="74"/>
      <c r="D47" s="74"/>
      <c r="E47" s="74"/>
    </row>
    <row r="48" spans="1:5" ht="15" customHeight="1">
      <c r="A48" s="74"/>
      <c r="B48" s="74"/>
      <c r="C48" s="74"/>
      <c r="D48" s="74"/>
      <c r="E48" s="74"/>
    </row>
    <row r="49" spans="1:5" ht="15" customHeight="1">
      <c r="A49" s="74"/>
      <c r="B49" s="74"/>
      <c r="C49" s="74"/>
      <c r="D49" s="74"/>
      <c r="E49" s="74"/>
    </row>
    <row r="50" spans="1:5" ht="15" customHeight="1">
      <c r="A50" s="74"/>
      <c r="B50" s="74"/>
      <c r="C50" s="74"/>
      <c r="D50" s="74"/>
      <c r="E50" s="74"/>
    </row>
    <row r="51" spans="1:5" ht="15" customHeight="1">
      <c r="A51" s="74"/>
      <c r="B51" s="74"/>
      <c r="C51" s="74"/>
      <c r="D51" s="74"/>
      <c r="E51" s="74"/>
    </row>
    <row r="52" spans="1:5" ht="15" customHeight="1">
      <c r="A52" s="74"/>
      <c r="B52" s="74"/>
      <c r="C52" s="74"/>
      <c r="D52" s="74"/>
      <c r="E52" s="74"/>
    </row>
    <row r="53" spans="1:5" ht="15" customHeight="1">
      <c r="A53" s="74"/>
      <c r="B53" s="74"/>
      <c r="C53" s="74"/>
      <c r="D53" s="74"/>
      <c r="E53" s="74"/>
    </row>
    <row r="54" spans="1:5" ht="15" customHeight="1">
      <c r="A54" s="74"/>
      <c r="B54" s="74"/>
      <c r="C54" s="74"/>
      <c r="D54" s="74"/>
      <c r="E54" s="74"/>
    </row>
    <row r="55" spans="1:5" ht="15" customHeight="1">
      <c r="A55" s="74"/>
      <c r="B55" s="74"/>
      <c r="C55" s="74"/>
      <c r="D55" s="74"/>
      <c r="E55" s="74"/>
    </row>
    <row r="56" spans="1:5" ht="15" customHeight="1">
      <c r="A56" s="74"/>
      <c r="B56" s="74"/>
      <c r="C56" s="74"/>
      <c r="D56" s="74"/>
      <c r="E56" s="74"/>
    </row>
    <row r="57" spans="1:5" ht="15" customHeight="1">
      <c r="A57" s="74"/>
      <c r="B57" s="74"/>
      <c r="C57" s="74"/>
      <c r="D57" s="74"/>
      <c r="E57" s="74"/>
    </row>
    <row r="58" spans="1:5" ht="15" customHeight="1">
      <c r="A58" s="74"/>
      <c r="B58" s="74"/>
      <c r="C58" s="74"/>
      <c r="D58" s="74"/>
      <c r="E58" s="74"/>
    </row>
    <row r="59" spans="1:5" ht="15" customHeight="1">
      <c r="A59" s="74"/>
      <c r="B59" s="74"/>
      <c r="C59" s="74"/>
      <c r="D59" s="74"/>
      <c r="E59" s="74"/>
    </row>
    <row r="60" spans="1:5" ht="15" customHeight="1">
      <c r="A60" s="74"/>
      <c r="B60" s="74"/>
      <c r="C60" s="74"/>
      <c r="D60" s="74"/>
      <c r="E60" s="74"/>
    </row>
    <row r="61" spans="1:5" ht="15" customHeight="1">
      <c r="A61" s="74"/>
      <c r="B61" s="74"/>
      <c r="C61" s="74"/>
      <c r="D61" s="74"/>
      <c r="E61" s="74"/>
    </row>
    <row r="62" spans="1:5" ht="15" customHeight="1">
      <c r="A62" s="74"/>
      <c r="B62" s="74"/>
      <c r="C62" s="74"/>
      <c r="D62" s="74"/>
      <c r="E62" s="74"/>
    </row>
    <row r="63" spans="1:5" ht="15" customHeight="1">
      <c r="A63" s="74"/>
      <c r="B63" s="74"/>
      <c r="C63" s="74"/>
      <c r="D63" s="74"/>
      <c r="E63" s="74"/>
    </row>
    <row r="64" spans="1:5" ht="15" customHeight="1">
      <c r="A64" s="74"/>
      <c r="B64" s="74"/>
      <c r="C64" s="74"/>
      <c r="D64" s="74"/>
      <c r="E64" s="74"/>
    </row>
    <row r="65" spans="1:5" ht="15.75" customHeight="1">
      <c r="A65" s="74"/>
      <c r="B65" s="74"/>
      <c r="C65" s="74"/>
      <c r="D65" s="74"/>
      <c r="E65" s="74"/>
    </row>
    <row r="66" spans="1:5" ht="15" customHeight="1">
      <c r="A66" s="74"/>
      <c r="B66" s="74"/>
      <c r="C66" s="74"/>
      <c r="D66" s="74"/>
      <c r="E66" s="74"/>
    </row>
    <row r="67" spans="1:5" ht="15" customHeight="1">
      <c r="A67" s="74"/>
      <c r="B67" s="74"/>
      <c r="C67" s="74"/>
      <c r="D67" s="74"/>
      <c r="E67" s="74"/>
    </row>
    <row r="68" spans="1:5" ht="15" customHeight="1">
      <c r="A68" s="74"/>
      <c r="B68" s="74"/>
      <c r="C68" s="74"/>
      <c r="D68" s="74"/>
      <c r="E68" s="74"/>
    </row>
    <row r="69" spans="1:5" ht="15" customHeight="1">
      <c r="A69" s="74"/>
      <c r="B69" s="74"/>
      <c r="C69" s="74"/>
      <c r="D69" s="74"/>
      <c r="E69" s="74"/>
    </row>
    <row r="70" spans="1:5" ht="15" customHeight="1">
      <c r="A70" s="74"/>
      <c r="B70" s="74"/>
      <c r="C70" s="74"/>
      <c r="D70" s="74"/>
      <c r="E70" s="74"/>
    </row>
    <row r="71" spans="1:5" ht="15" customHeight="1">
      <c r="A71" s="74"/>
      <c r="B71" s="74"/>
      <c r="C71" s="74"/>
      <c r="D71" s="74"/>
      <c r="E71" s="74"/>
    </row>
    <row r="72" spans="1:5" ht="15" customHeight="1">
      <c r="A72" s="74"/>
      <c r="B72" s="74"/>
      <c r="C72" s="74"/>
      <c r="D72" s="74"/>
      <c r="E72" s="74"/>
    </row>
    <row r="73" spans="1:5" ht="15" customHeight="1">
      <c r="A73" s="74"/>
      <c r="B73" s="74"/>
      <c r="C73" s="74"/>
      <c r="D73" s="74"/>
      <c r="E73" s="74"/>
    </row>
    <row r="74" spans="1:5" ht="15" customHeight="1">
      <c r="A74" s="74"/>
      <c r="B74" s="74"/>
      <c r="C74" s="74"/>
      <c r="D74" s="74"/>
      <c r="E74" s="74"/>
    </row>
    <row r="75" spans="1:5" ht="15" customHeight="1">
      <c r="A75" s="74"/>
      <c r="B75" s="74"/>
      <c r="C75" s="74"/>
      <c r="D75" s="74"/>
      <c r="E75" s="74"/>
    </row>
    <row r="76" spans="1:5" ht="15" customHeight="1">
      <c r="A76" s="74"/>
      <c r="B76" s="74"/>
      <c r="C76" s="74"/>
      <c r="D76" s="74"/>
      <c r="E76" s="74"/>
    </row>
    <row r="77" spans="1:5" ht="15" customHeight="1">
      <c r="A77" s="74"/>
      <c r="B77" s="74"/>
      <c r="C77" s="74"/>
      <c r="D77" s="74"/>
      <c r="E77" s="74"/>
    </row>
    <row r="78" spans="1:5" ht="15" customHeight="1">
      <c r="A78" s="74"/>
      <c r="B78" s="74"/>
      <c r="C78" s="74"/>
      <c r="D78" s="74"/>
      <c r="E78" s="74"/>
    </row>
    <row r="79" spans="1:5" ht="15" customHeight="1">
      <c r="A79" s="74"/>
      <c r="B79" s="74"/>
      <c r="C79" s="74"/>
      <c r="D79" s="74"/>
      <c r="E79" s="74"/>
    </row>
    <row r="80" spans="1:5" ht="15" customHeight="1">
      <c r="A80" s="74"/>
      <c r="B80" s="74"/>
      <c r="C80" s="74"/>
      <c r="D80" s="74"/>
      <c r="E80" s="74"/>
    </row>
    <row r="81" spans="1:5" ht="15" customHeight="1">
      <c r="A81" s="74"/>
      <c r="B81" s="74"/>
      <c r="C81" s="74"/>
      <c r="D81" s="74"/>
      <c r="E81" s="74"/>
    </row>
    <row r="82" spans="1:5" ht="15.75" customHeight="1">
      <c r="A82" s="74"/>
      <c r="B82" s="74"/>
      <c r="C82" s="74"/>
      <c r="D82" s="74"/>
      <c r="E82" s="74"/>
    </row>
  </sheetData>
  <mergeCells count="4">
    <mergeCell ref="A1:D1"/>
    <mergeCell ref="B43:C43"/>
    <mergeCell ref="A39:D39"/>
    <mergeCell ref="A40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A542-4AC3-47CC-9534-453B19CFC0A1}">
  <sheetPr>
    <tabColor rgb="FFFFFF00"/>
  </sheetPr>
  <dimension ref="A1:AB53"/>
  <sheetViews>
    <sheetView tabSelected="1" zoomScale="60" zoomScaleNormal="60" workbookViewId="0">
      <pane xSplit="3" ySplit="2" topLeftCell="D16" activePane="bottomRight" state="frozen"/>
      <selection pane="bottomRight" activeCell="W42" sqref="W42"/>
      <selection pane="bottomLeft" activeCell="A3" sqref="A3"/>
      <selection pane="topRight" activeCell="D1" sqref="D1"/>
    </sheetView>
  </sheetViews>
  <sheetFormatPr defaultRowHeight="14.45"/>
  <cols>
    <col min="1" max="1" width="57" bestFit="1" customWidth="1"/>
    <col min="2" max="2" width="8.28515625" bestFit="1" customWidth="1"/>
    <col min="3" max="3" width="16.42578125" bestFit="1" customWidth="1"/>
    <col min="4" max="4" width="15" bestFit="1" customWidth="1"/>
    <col min="5" max="6" width="14.42578125" bestFit="1" customWidth="1"/>
    <col min="7" max="7" width="15.7109375" bestFit="1" customWidth="1"/>
    <col min="8" max="8" width="16.28515625" customWidth="1"/>
    <col min="9" max="9" width="15.7109375" bestFit="1" customWidth="1"/>
    <col min="10" max="10" width="15.140625" bestFit="1" customWidth="1"/>
    <col min="11" max="11" width="16.28515625" bestFit="1" customWidth="1"/>
    <col min="12" max="12" width="15.140625" bestFit="1" customWidth="1"/>
    <col min="13" max="18" width="11.85546875" bestFit="1" customWidth="1"/>
    <col min="19" max="19" width="11.5703125" bestFit="1" customWidth="1"/>
    <col min="20" max="21" width="11.28515625" bestFit="1" customWidth="1"/>
    <col min="22" max="23" width="11.85546875" bestFit="1" customWidth="1"/>
    <col min="25" max="25" width="8.7109375" customWidth="1"/>
    <col min="26" max="26" width="13.28515625" customWidth="1"/>
    <col min="27" max="27" width="11.7109375" customWidth="1"/>
    <col min="28" max="28" width="16.28515625" customWidth="1"/>
  </cols>
  <sheetData>
    <row r="1" spans="1:28" ht="26.45" thickBot="1">
      <c r="A1" s="253" t="s">
        <v>63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5"/>
      <c r="S1" s="256" t="s">
        <v>64</v>
      </c>
      <c r="T1" s="257"/>
      <c r="U1" s="257"/>
      <c r="V1" s="257"/>
      <c r="W1" s="258"/>
      <c r="Z1" s="259" t="s">
        <v>65</v>
      </c>
      <c r="AA1" s="260"/>
      <c r="AB1" s="261"/>
    </row>
    <row r="2" spans="1:28" s="160" customFormat="1" ht="18.600000000000001" thickBot="1">
      <c r="A2" s="150" t="s">
        <v>45</v>
      </c>
      <c r="B2" s="151" t="s">
        <v>66</v>
      </c>
      <c r="C2" s="152" t="s">
        <v>67</v>
      </c>
      <c r="D2" s="153">
        <v>1</v>
      </c>
      <c r="E2" s="152">
        <v>2</v>
      </c>
      <c r="F2" s="154">
        <v>3</v>
      </c>
      <c r="G2" s="152">
        <v>4</v>
      </c>
      <c r="H2" s="154">
        <v>5</v>
      </c>
      <c r="I2" s="152">
        <v>6</v>
      </c>
      <c r="J2" s="154">
        <v>7</v>
      </c>
      <c r="K2" s="152">
        <v>8</v>
      </c>
      <c r="L2" s="154">
        <v>9</v>
      </c>
      <c r="M2" s="152">
        <v>10</v>
      </c>
      <c r="N2" s="154">
        <v>11</v>
      </c>
      <c r="O2" s="152">
        <v>12</v>
      </c>
      <c r="P2" s="154">
        <v>13</v>
      </c>
      <c r="Q2" s="152">
        <v>14</v>
      </c>
      <c r="R2" s="155">
        <v>15</v>
      </c>
      <c r="S2" s="195">
        <v>16</v>
      </c>
      <c r="T2" s="195">
        <v>17</v>
      </c>
      <c r="U2" s="195">
        <v>18</v>
      </c>
      <c r="V2" s="195">
        <v>19</v>
      </c>
      <c r="W2" s="195">
        <v>20</v>
      </c>
      <c r="Z2" s="233" t="s">
        <v>68</v>
      </c>
      <c r="AA2" s="234" t="s">
        <v>69</v>
      </c>
      <c r="AB2" s="234" t="s">
        <v>70</v>
      </c>
    </row>
    <row r="3" spans="1:28" s="160" customFormat="1" ht="18">
      <c r="A3" s="102" t="s">
        <v>5</v>
      </c>
      <c r="B3" s="165"/>
      <c r="C3" s="104">
        <v>250000</v>
      </c>
      <c r="D3" s="167"/>
      <c r="E3" s="166"/>
      <c r="F3" s="167"/>
      <c r="G3" s="166"/>
      <c r="H3" s="167"/>
      <c r="I3" s="166"/>
      <c r="J3" s="167"/>
      <c r="K3" s="166"/>
      <c r="L3" s="167"/>
      <c r="M3" s="166"/>
      <c r="N3" s="167"/>
      <c r="O3" s="166"/>
      <c r="P3" s="167"/>
      <c r="Q3" s="166"/>
      <c r="R3" s="167"/>
      <c r="S3" s="167"/>
      <c r="T3" s="167"/>
      <c r="U3" s="167"/>
      <c r="V3" s="167"/>
      <c r="W3" s="168"/>
      <c r="Z3" s="235">
        <v>1</v>
      </c>
      <c r="AA3" s="236">
        <f>E11</f>
        <v>0</v>
      </c>
      <c r="AB3" s="236">
        <v>-261506.68075</v>
      </c>
    </row>
    <row r="4" spans="1:28" s="160" customFormat="1" ht="18">
      <c r="A4" s="199" t="s">
        <v>71</v>
      </c>
      <c r="B4" s="169"/>
      <c r="C4" s="211">
        <f>C6*C8/1000</f>
        <v>440</v>
      </c>
      <c r="D4" s="171"/>
      <c r="E4" s="170"/>
      <c r="F4" s="171"/>
      <c r="G4" s="170"/>
      <c r="H4" s="171"/>
      <c r="I4" s="170"/>
      <c r="J4" s="171"/>
      <c r="K4" s="170"/>
      <c r="L4" s="171"/>
      <c r="M4" s="170"/>
      <c r="N4" s="171"/>
      <c r="O4" s="170"/>
      <c r="P4" s="171"/>
      <c r="Q4" s="170"/>
      <c r="R4" s="171"/>
      <c r="S4" s="171"/>
      <c r="T4" s="171"/>
      <c r="U4" s="171"/>
      <c r="V4" s="171"/>
      <c r="W4" s="172"/>
      <c r="Z4" s="235">
        <v>2</v>
      </c>
      <c r="AA4" s="236">
        <f>SUM(F4:F10)</f>
        <v>0</v>
      </c>
      <c r="AB4" s="236">
        <v>-219902.52722125</v>
      </c>
    </row>
    <row r="5" spans="1:28" s="160" customFormat="1" ht="18">
      <c r="A5" s="199" t="s">
        <v>72</v>
      </c>
      <c r="B5" s="169"/>
      <c r="C5" s="211">
        <v>400</v>
      </c>
      <c r="D5" s="171"/>
      <c r="E5" s="170"/>
      <c r="F5" s="171"/>
      <c r="G5" s="170"/>
      <c r="H5" s="171"/>
      <c r="I5" s="170"/>
      <c r="J5" s="171"/>
      <c r="K5" s="170"/>
      <c r="L5" s="171"/>
      <c r="M5" s="170"/>
      <c r="N5" s="171"/>
      <c r="O5" s="170"/>
      <c r="P5" s="171"/>
      <c r="Q5" s="170"/>
      <c r="R5" s="171"/>
      <c r="S5" s="171"/>
      <c r="T5" s="171"/>
      <c r="U5" s="171"/>
      <c r="V5" s="171"/>
      <c r="W5" s="172"/>
      <c r="Z5" s="235">
        <v>3</v>
      </c>
      <c r="AA5" s="236">
        <f>SUM(G$4:G$10)</f>
        <v>0</v>
      </c>
      <c r="AB5" s="236">
        <v>-191808.53858514375</v>
      </c>
    </row>
    <row r="6" spans="1:28" s="160" customFormat="1" ht="18">
      <c r="A6" s="199" t="s">
        <v>73</v>
      </c>
      <c r="B6" s="169"/>
      <c r="C6" s="211">
        <v>250</v>
      </c>
      <c r="D6" s="171"/>
      <c r="E6" s="170"/>
      <c r="F6" s="171"/>
      <c r="G6" s="170"/>
      <c r="H6" s="171"/>
      <c r="I6" s="170"/>
      <c r="J6" s="171"/>
      <c r="K6" s="170"/>
      <c r="L6" s="171"/>
      <c r="M6" s="170"/>
      <c r="N6" s="171"/>
      <c r="O6" s="170"/>
      <c r="P6" s="171"/>
      <c r="Q6" s="170"/>
      <c r="R6" s="171"/>
      <c r="S6" s="171"/>
      <c r="T6" s="171"/>
      <c r="U6" s="171"/>
      <c r="V6" s="171"/>
      <c r="W6" s="172"/>
      <c r="Z6" s="235">
        <v>4</v>
      </c>
      <c r="AA6" s="236">
        <f>SUM(H$4:H$10)</f>
        <v>0</v>
      </c>
      <c r="AB6" s="236">
        <v>-163912.71901721804</v>
      </c>
    </row>
    <row r="7" spans="1:28" s="160" customFormat="1" ht="18">
      <c r="A7" s="200" t="s">
        <v>74</v>
      </c>
      <c r="B7" s="169"/>
      <c r="C7" s="211">
        <v>1.67</v>
      </c>
      <c r="D7" s="171"/>
      <c r="E7" s="170"/>
      <c r="F7" s="171"/>
      <c r="G7" s="170"/>
      <c r="H7" s="171"/>
      <c r="I7" s="170"/>
      <c r="J7" s="171"/>
      <c r="K7" s="170"/>
      <c r="L7" s="171"/>
      <c r="M7" s="170"/>
      <c r="N7" s="171"/>
      <c r="O7" s="170"/>
      <c r="P7" s="171"/>
      <c r="Q7" s="170"/>
      <c r="R7" s="171"/>
      <c r="S7" s="171"/>
      <c r="T7" s="171"/>
      <c r="U7" s="171"/>
      <c r="V7" s="171"/>
      <c r="W7" s="172"/>
      <c r="Z7" s="235">
        <v>5</v>
      </c>
      <c r="AA7" s="236">
        <f>SUM(I$4:I$10)</f>
        <v>0</v>
      </c>
      <c r="AB7" s="236">
        <v>-136214.07767213194</v>
      </c>
    </row>
    <row r="8" spans="1:28" s="160" customFormat="1" ht="18">
      <c r="A8" s="200" t="s">
        <v>75</v>
      </c>
      <c r="B8" s="169"/>
      <c r="C8" s="211">
        <v>1760</v>
      </c>
      <c r="D8" s="171"/>
      <c r="E8" s="170"/>
      <c r="F8" s="171"/>
      <c r="G8" s="170"/>
      <c r="H8" s="171"/>
      <c r="I8" s="170"/>
      <c r="J8" s="171"/>
      <c r="K8" s="170"/>
      <c r="L8" s="171"/>
      <c r="M8" s="170"/>
      <c r="N8" s="171"/>
      <c r="O8" s="170"/>
      <c r="P8" s="171"/>
      <c r="Q8" s="170"/>
      <c r="R8" s="171"/>
      <c r="S8" s="171"/>
      <c r="T8" s="171"/>
      <c r="U8" s="171"/>
      <c r="V8" s="171"/>
      <c r="W8" s="172"/>
      <c r="Z8" s="235">
        <v>6</v>
      </c>
      <c r="AA8" s="236">
        <f>SUM(J$4:J$10)</f>
        <v>0</v>
      </c>
      <c r="AB8" s="236">
        <v>-108711.62865877128</v>
      </c>
    </row>
    <row r="9" spans="1:28" s="160" customFormat="1" ht="18">
      <c r="A9" s="200" t="s">
        <v>76</v>
      </c>
      <c r="B9" s="169"/>
      <c r="C9" s="211">
        <f>C7*C8</f>
        <v>2939.2</v>
      </c>
      <c r="D9" s="171"/>
      <c r="E9" s="170"/>
      <c r="F9" s="171"/>
      <c r="G9" s="170"/>
      <c r="H9" s="171"/>
      <c r="I9" s="170"/>
      <c r="J9" s="171"/>
      <c r="K9" s="170"/>
      <c r="L9" s="171"/>
      <c r="M9" s="170"/>
      <c r="N9" s="171"/>
      <c r="O9" s="170"/>
      <c r="P9" s="171"/>
      <c r="Q9" s="170"/>
      <c r="R9" s="171"/>
      <c r="S9" s="171"/>
      <c r="T9" s="171"/>
      <c r="U9" s="171"/>
      <c r="V9" s="171"/>
      <c r="W9" s="172"/>
      <c r="Z9" s="235">
        <v>7</v>
      </c>
      <c r="AA9" s="236">
        <f>SUM(K$4:K$10)</f>
        <v>0</v>
      </c>
      <c r="AB9" s="236">
        <v>-81404.39101547742</v>
      </c>
    </row>
    <row r="10" spans="1:28" s="160" customFormat="1" ht="18">
      <c r="A10" s="201" t="s">
        <v>77</v>
      </c>
      <c r="B10" s="180"/>
      <c r="C10" s="212">
        <v>920</v>
      </c>
      <c r="D10" s="181"/>
      <c r="E10" s="182"/>
      <c r="F10" s="181"/>
      <c r="G10" s="182"/>
      <c r="H10" s="181"/>
      <c r="I10" s="182"/>
      <c r="J10" s="181"/>
      <c r="K10" s="182"/>
      <c r="L10" s="181"/>
      <c r="M10" s="182"/>
      <c r="N10" s="181"/>
      <c r="O10" s="182"/>
      <c r="P10" s="181"/>
      <c r="Q10" s="182"/>
      <c r="R10" s="181"/>
      <c r="S10" s="181"/>
      <c r="T10" s="181"/>
      <c r="U10" s="181"/>
      <c r="V10" s="181"/>
      <c r="W10" s="183"/>
      <c r="Z10" s="235">
        <v>8</v>
      </c>
      <c r="AA10" s="236">
        <f>SUM(L$4:L$10)</f>
        <v>0</v>
      </c>
      <c r="AB10" s="236">
        <v>-54291.388685400038</v>
      </c>
    </row>
    <row r="11" spans="1:28" s="160" customFormat="1" ht="18">
      <c r="A11" s="200" t="s">
        <v>78</v>
      </c>
      <c r="B11" s="169"/>
      <c r="C11" s="213">
        <f>C4*0.92</f>
        <v>404.8</v>
      </c>
      <c r="D11" s="171"/>
      <c r="E11" s="170"/>
      <c r="F11" s="171"/>
      <c r="G11" s="170"/>
      <c r="H11" s="171"/>
      <c r="I11" s="170"/>
      <c r="J11" s="171"/>
      <c r="K11" s="170"/>
      <c r="L11" s="171"/>
      <c r="M11" s="170"/>
      <c r="N11" s="171"/>
      <c r="O11" s="170"/>
      <c r="P11" s="171"/>
      <c r="Q11" s="170"/>
      <c r="R11" s="171"/>
      <c r="S11" s="171"/>
      <c r="T11" s="171"/>
      <c r="U11" s="171"/>
      <c r="V11" s="171"/>
      <c r="W11" s="172"/>
      <c r="Z11" s="235">
        <v>9</v>
      </c>
      <c r="AA11" s="236">
        <f>SUM(M$4:M$10)</f>
        <v>0</v>
      </c>
      <c r="AB11" s="236">
        <v>-27371.650491973043</v>
      </c>
    </row>
    <row r="12" spans="1:28" s="160" customFormat="1" ht="18.600000000000001" thickBot="1">
      <c r="A12" s="202" t="s">
        <v>21</v>
      </c>
      <c r="B12" s="169"/>
      <c r="C12" s="214">
        <f>1200*250</f>
        <v>300000</v>
      </c>
      <c r="D12" s="171"/>
      <c r="E12" s="170"/>
      <c r="F12" s="171"/>
      <c r="G12" s="170"/>
      <c r="H12" s="171"/>
      <c r="I12" s="170"/>
      <c r="J12" s="171"/>
      <c r="K12" s="170"/>
      <c r="L12" s="171"/>
      <c r="M12" s="170"/>
      <c r="N12" s="171"/>
      <c r="O12" s="170"/>
      <c r="P12" s="171"/>
      <c r="Q12" s="170"/>
      <c r="R12" s="171"/>
      <c r="S12" s="171"/>
      <c r="T12" s="171"/>
      <c r="U12" s="171"/>
      <c r="V12" s="171"/>
      <c r="W12" s="172"/>
      <c r="Z12" s="235">
        <v>10</v>
      </c>
      <c r="AA12" s="236">
        <f>SUM(N$4:N$10)</f>
        <v>0</v>
      </c>
      <c r="AB12" s="236">
        <v>-644.21011451318191</v>
      </c>
    </row>
    <row r="13" spans="1:28" s="160" customFormat="1" ht="18.600000000000001" thickBot="1">
      <c r="A13" s="203" t="s">
        <v>22</v>
      </c>
      <c r="B13" s="169"/>
      <c r="C13" s="215"/>
      <c r="D13" s="171"/>
      <c r="E13" s="170"/>
      <c r="F13" s="171"/>
      <c r="G13" s="170"/>
      <c r="H13" s="171"/>
      <c r="I13" s="170"/>
      <c r="J13" s="171"/>
      <c r="K13" s="170"/>
      <c r="L13" s="171"/>
      <c r="M13" s="170"/>
      <c r="N13" s="171"/>
      <c r="O13" s="170"/>
      <c r="P13" s="171"/>
      <c r="Q13" s="170"/>
      <c r="R13" s="171"/>
      <c r="S13" s="171"/>
      <c r="T13" s="171"/>
      <c r="U13" s="171"/>
      <c r="V13" s="171"/>
      <c r="W13" s="172"/>
      <c r="Z13" s="237" t="s">
        <v>79</v>
      </c>
      <c r="AA13" s="238"/>
      <c r="AB13" s="239" t="e">
        <f>IRR(AA3:AA12)</f>
        <v>#NUM!</v>
      </c>
    </row>
    <row r="14" spans="1:28" s="160" customFormat="1" ht="18">
      <c r="A14" s="204" t="s">
        <v>80</v>
      </c>
      <c r="B14" s="169"/>
      <c r="C14" s="216">
        <f>C3-(C15+C16)</f>
        <v>229900</v>
      </c>
      <c r="D14" s="171"/>
      <c r="E14" s="170"/>
      <c r="F14" s="171"/>
      <c r="G14" s="170"/>
      <c r="H14" s="171"/>
      <c r="I14" s="170"/>
      <c r="J14" s="171"/>
      <c r="K14" s="170"/>
      <c r="L14" s="171"/>
      <c r="M14" s="170"/>
      <c r="N14" s="171"/>
      <c r="O14" s="170"/>
      <c r="P14" s="171"/>
      <c r="Q14" s="170"/>
      <c r="R14" s="171"/>
      <c r="S14" s="171"/>
      <c r="T14" s="171"/>
      <c r="U14" s="171"/>
      <c r="V14" s="171"/>
      <c r="W14" s="172"/>
      <c r="Z14" s="235">
        <v>11</v>
      </c>
      <c r="AA14" s="236">
        <f>SUM(O$4:O$10)</f>
        <v>0</v>
      </c>
      <c r="AB14" s="236">
        <v>11757.309089571223</v>
      </c>
    </row>
    <row r="15" spans="1:28" s="160" customFormat="1" ht="18">
      <c r="A15" s="204" t="s">
        <v>81</v>
      </c>
      <c r="B15" s="169"/>
      <c r="C15" s="217">
        <f>4500+9000</f>
        <v>13500</v>
      </c>
      <c r="D15" s="171"/>
      <c r="E15" s="170"/>
      <c r="F15" s="171"/>
      <c r="G15" s="170"/>
      <c r="H15" s="171"/>
      <c r="I15" s="170"/>
      <c r="J15" s="171"/>
      <c r="K15" s="170"/>
      <c r="L15" s="171"/>
      <c r="M15" s="170"/>
      <c r="N15" s="171"/>
      <c r="O15" s="170"/>
      <c r="P15" s="171"/>
      <c r="Q15" s="170"/>
      <c r="R15" s="171"/>
      <c r="S15" s="171"/>
      <c r="T15" s="171"/>
      <c r="U15" s="171"/>
      <c r="V15" s="171"/>
      <c r="W15" s="172"/>
      <c r="Z15" s="235">
        <v>12</v>
      </c>
      <c r="AA15" s="236">
        <f>SUM(P$4:P$10)</f>
        <v>0</v>
      </c>
      <c r="AB15" s="236">
        <v>24039.121572635206</v>
      </c>
    </row>
    <row r="16" spans="1:28" s="160" customFormat="1" ht="18">
      <c r="A16" s="204" t="s">
        <v>81</v>
      </c>
      <c r="B16" s="169"/>
      <c r="C16" s="217">
        <f>5900+700</f>
        <v>6600</v>
      </c>
      <c r="D16" s="171"/>
      <c r="E16" s="170"/>
      <c r="F16" s="171"/>
      <c r="G16" s="170"/>
      <c r="H16" s="171"/>
      <c r="I16" s="170"/>
      <c r="J16" s="171"/>
      <c r="K16" s="170"/>
      <c r="L16" s="171"/>
      <c r="M16" s="170"/>
      <c r="N16" s="171"/>
      <c r="O16" s="170"/>
      <c r="P16" s="171"/>
      <c r="Q16" s="170"/>
      <c r="R16" s="171"/>
      <c r="S16" s="171"/>
      <c r="T16" s="171"/>
      <c r="U16" s="171"/>
      <c r="V16" s="171"/>
      <c r="W16" s="172"/>
      <c r="Z16" s="235">
        <v>13</v>
      </c>
      <c r="AA16" s="236">
        <f>SUM(Q$4:Q$10)</f>
        <v>0</v>
      </c>
      <c r="AB16" s="236">
        <v>36201.825868283864</v>
      </c>
    </row>
    <row r="17" spans="1:28" s="160" customFormat="1" ht="18">
      <c r="A17" s="204" t="s">
        <v>82</v>
      </c>
      <c r="B17" s="169"/>
      <c r="C17" s="218">
        <v>7500</v>
      </c>
      <c r="D17" s="171"/>
      <c r="E17" s="170"/>
      <c r="F17" s="171"/>
      <c r="G17" s="170"/>
      <c r="H17" s="171"/>
      <c r="I17" s="170"/>
      <c r="J17" s="171"/>
      <c r="K17" s="170"/>
      <c r="L17" s="171"/>
      <c r="M17" s="170"/>
      <c r="N17" s="171"/>
      <c r="O17" s="170"/>
      <c r="P17" s="171"/>
      <c r="Q17" s="170"/>
      <c r="R17" s="171"/>
      <c r="S17" s="171"/>
      <c r="T17" s="171"/>
      <c r="U17" s="171"/>
      <c r="V17" s="171"/>
      <c r="W17" s="172"/>
      <c r="Z17" s="235">
        <v>14</v>
      </c>
      <c r="AA17" s="236">
        <f>SUM(R$4:R$10)</f>
        <v>0</v>
      </c>
      <c r="AB17" s="236">
        <v>48246.017517454282</v>
      </c>
    </row>
    <row r="18" spans="1:28" s="160" customFormat="1" ht="18.600000000000001" thickBot="1">
      <c r="A18" s="87" t="s">
        <v>30</v>
      </c>
      <c r="B18" s="173"/>
      <c r="C18" s="107">
        <v>250000</v>
      </c>
      <c r="D18" s="175"/>
      <c r="E18" s="174"/>
      <c r="F18" s="176"/>
      <c r="G18" s="174"/>
      <c r="H18" s="176"/>
      <c r="I18" s="174"/>
      <c r="J18" s="176"/>
      <c r="K18" s="174"/>
      <c r="L18" s="176"/>
      <c r="M18" s="174"/>
      <c r="N18" s="176"/>
      <c r="O18" s="174"/>
      <c r="P18" s="176"/>
      <c r="Q18" s="174"/>
      <c r="R18" s="177"/>
      <c r="S18" s="171"/>
      <c r="T18" s="176"/>
      <c r="U18" s="176"/>
      <c r="V18" s="176"/>
      <c r="W18" s="178"/>
      <c r="Z18" s="235">
        <v>15</v>
      </c>
      <c r="AA18" s="236">
        <f>SUM(S$4:S$10)</f>
        <v>0</v>
      </c>
      <c r="AB18" s="236">
        <v>60172.289083378848</v>
      </c>
    </row>
    <row r="19" spans="1:28" s="160" customFormat="1" ht="18.600000000000001" thickBot="1">
      <c r="A19" s="225" t="s">
        <v>83</v>
      </c>
      <c r="B19" s="62"/>
      <c r="C19" s="226">
        <v>5000</v>
      </c>
      <c r="D19" s="175"/>
      <c r="E19" s="174"/>
      <c r="F19" s="176"/>
      <c r="G19" s="174"/>
      <c r="H19" s="176"/>
      <c r="I19" s="174"/>
      <c r="J19" s="176"/>
      <c r="K19" s="174"/>
      <c r="L19" s="176"/>
      <c r="M19" s="174"/>
      <c r="N19" s="176"/>
      <c r="O19" s="174"/>
      <c r="P19" s="176"/>
      <c r="Q19" s="174"/>
      <c r="R19" s="177"/>
      <c r="S19" s="171"/>
      <c r="T19" s="176"/>
      <c r="U19" s="176"/>
      <c r="V19" s="176"/>
      <c r="W19" s="178"/>
      <c r="Z19" s="237" t="s">
        <v>84</v>
      </c>
      <c r="AA19" s="240"/>
      <c r="AB19" s="241" t="e">
        <f>IRR(AA3:AA18)</f>
        <v>#NUM!</v>
      </c>
    </row>
    <row r="20" spans="1:28" s="160" customFormat="1" ht="18">
      <c r="A20" s="225" t="s">
        <v>85</v>
      </c>
      <c r="B20" s="62"/>
      <c r="C20" s="226">
        <v>1000</v>
      </c>
      <c r="D20" s="175"/>
      <c r="E20" s="174"/>
      <c r="F20" s="176"/>
      <c r="G20" s="174"/>
      <c r="H20" s="176"/>
      <c r="I20" s="174"/>
      <c r="J20" s="176"/>
      <c r="K20" s="174"/>
      <c r="L20" s="176"/>
      <c r="M20" s="174"/>
      <c r="N20" s="176"/>
      <c r="O20" s="174"/>
      <c r="P20" s="176"/>
      <c r="Q20" s="174"/>
      <c r="R20" s="177"/>
      <c r="S20" s="171"/>
      <c r="T20" s="176"/>
      <c r="U20" s="176"/>
      <c r="V20" s="176"/>
      <c r="W20" s="178"/>
      <c r="Z20" s="235">
        <v>16</v>
      </c>
      <c r="AA20" s="236">
        <f>SUM(T$4:T$10)</f>
        <v>0</v>
      </c>
      <c r="AB20" s="236">
        <v>71981.23016647379</v>
      </c>
    </row>
    <row r="21" spans="1:28" s="160" customFormat="1" ht="18">
      <c r="A21" s="225" t="s">
        <v>86</v>
      </c>
      <c r="B21" s="62"/>
      <c r="C21" s="227">
        <v>250</v>
      </c>
      <c r="D21" s="175"/>
      <c r="E21" s="174"/>
      <c r="F21" s="176"/>
      <c r="G21" s="174"/>
      <c r="H21" s="176"/>
      <c r="I21" s="174"/>
      <c r="J21" s="176"/>
      <c r="K21" s="174"/>
      <c r="L21" s="176"/>
      <c r="M21" s="174"/>
      <c r="N21" s="176"/>
      <c r="O21" s="174"/>
      <c r="P21" s="176"/>
      <c r="Q21" s="174"/>
      <c r="R21" s="177"/>
      <c r="S21" s="171"/>
      <c r="T21" s="176"/>
      <c r="U21" s="176"/>
      <c r="V21" s="176"/>
      <c r="W21" s="178"/>
      <c r="Z21" s="235">
        <v>17</v>
      </c>
      <c r="AA21" s="236">
        <f>SUM(U$4:U$10)</f>
        <v>0</v>
      </c>
      <c r="AB21" s="236">
        <v>83673.42741915326</v>
      </c>
    </row>
    <row r="22" spans="1:28" s="160" customFormat="1" ht="18">
      <c r="A22" s="225" t="s">
        <v>87</v>
      </c>
      <c r="B22" s="62"/>
      <c r="C22" s="228">
        <f>C19/C21</f>
        <v>20</v>
      </c>
      <c r="D22" s="175"/>
      <c r="E22" s="174"/>
      <c r="F22" s="176"/>
      <c r="G22" s="174"/>
      <c r="H22" s="176"/>
      <c r="I22" s="174"/>
      <c r="J22" s="176"/>
      <c r="K22" s="174"/>
      <c r="L22" s="176"/>
      <c r="M22" s="174"/>
      <c r="N22" s="176"/>
      <c r="O22" s="174"/>
      <c r="P22" s="176"/>
      <c r="Q22" s="174"/>
      <c r="R22" s="177"/>
      <c r="S22" s="171"/>
      <c r="T22" s="176"/>
      <c r="U22" s="176"/>
      <c r="V22" s="176"/>
      <c r="W22" s="178"/>
      <c r="Z22" s="235">
        <v>18</v>
      </c>
      <c r="AA22" s="236">
        <f>SUM(V$4:V$10)</f>
        <v>0</v>
      </c>
      <c r="AB22" s="236">
        <v>95249.464560569322</v>
      </c>
    </row>
    <row r="23" spans="1:28" s="160" customFormat="1" ht="18">
      <c r="A23" s="225" t="s">
        <v>88</v>
      </c>
      <c r="B23" s="63"/>
      <c r="C23" s="228">
        <f>C3/C20</f>
        <v>250</v>
      </c>
      <c r="D23" s="175"/>
      <c r="E23" s="174"/>
      <c r="F23" s="176"/>
      <c r="G23" s="174"/>
      <c r="H23" s="176"/>
      <c r="I23" s="174"/>
      <c r="J23" s="176"/>
      <c r="K23" s="174"/>
      <c r="L23" s="176"/>
      <c r="M23" s="174"/>
      <c r="N23" s="176"/>
      <c r="O23" s="174"/>
      <c r="P23" s="176"/>
      <c r="Q23" s="174"/>
      <c r="R23" s="177"/>
      <c r="S23" s="171"/>
      <c r="T23" s="176"/>
      <c r="U23" s="176"/>
      <c r="V23" s="176"/>
      <c r="W23" s="178"/>
      <c r="Z23" s="235">
        <v>19</v>
      </c>
      <c r="AA23" s="236">
        <f>SUM(W$4:W$10)</f>
        <v>0</v>
      </c>
      <c r="AB23" s="236">
        <v>106709.92239127831</v>
      </c>
    </row>
    <row r="24" spans="1:28" s="160" customFormat="1" ht="18.600000000000001" thickBot="1">
      <c r="A24" s="225" t="s">
        <v>89</v>
      </c>
      <c r="B24" s="63"/>
      <c r="C24" s="228">
        <f>C3/C19</f>
        <v>50</v>
      </c>
      <c r="D24" s="175"/>
      <c r="E24" s="174"/>
      <c r="F24" s="176"/>
      <c r="G24" s="174"/>
      <c r="H24" s="176"/>
      <c r="I24" s="174"/>
      <c r="J24" s="176"/>
      <c r="K24" s="174"/>
      <c r="L24" s="176"/>
      <c r="M24" s="174"/>
      <c r="N24" s="176"/>
      <c r="O24" s="174"/>
      <c r="P24" s="176"/>
      <c r="Q24" s="174"/>
      <c r="R24" s="177"/>
      <c r="S24" s="171"/>
      <c r="T24" s="176"/>
      <c r="U24" s="176"/>
      <c r="V24" s="176"/>
      <c r="W24" s="178"/>
      <c r="Z24" s="235">
        <v>20</v>
      </c>
      <c r="AA24" s="236">
        <f>SUM(X$4:X$10)</f>
        <v>0</v>
      </c>
      <c r="AB24" s="236">
        <v>118055.37880783374</v>
      </c>
    </row>
    <row r="25" spans="1:28" ht="16.149999999999999" thickBot="1">
      <c r="A25" s="204" t="s">
        <v>90</v>
      </c>
      <c r="B25" s="51"/>
      <c r="C25" s="56"/>
      <c r="D25" s="161">
        <f>-Financieringsplan!C3</f>
        <v>-250000</v>
      </c>
      <c r="E25" s="162"/>
      <c r="F25" s="162"/>
      <c r="G25" s="162"/>
      <c r="H25" s="162"/>
      <c r="I25" s="162"/>
      <c r="J25" s="162"/>
      <c r="K25" s="162"/>
      <c r="L25" s="162"/>
      <c r="M25" s="162"/>
      <c r="N25" s="163"/>
      <c r="O25" s="162"/>
      <c r="P25" s="162"/>
      <c r="Q25" s="162"/>
      <c r="R25" s="164"/>
      <c r="S25" s="1"/>
      <c r="T25" s="186"/>
      <c r="U25" s="186"/>
      <c r="V25" s="186"/>
      <c r="W25" s="187"/>
      <c r="Z25" s="237" t="s">
        <v>91</v>
      </c>
      <c r="AA25" s="241"/>
      <c r="AB25" s="241" t="e">
        <f>IRR(AA3:AA24)</f>
        <v>#NUM!</v>
      </c>
    </row>
    <row r="26" spans="1:28" ht="15.6">
      <c r="A26" s="204" t="s">
        <v>92</v>
      </c>
      <c r="B26" s="51"/>
      <c r="C26" s="54"/>
      <c r="D26" s="47">
        <f>Financieringsplan!C18</f>
        <v>250000</v>
      </c>
      <c r="E26" s="1"/>
      <c r="F26" s="1"/>
      <c r="G26" s="1"/>
      <c r="H26" s="1"/>
      <c r="I26" s="1"/>
      <c r="J26" s="1"/>
      <c r="K26" s="1"/>
      <c r="L26" s="1"/>
      <c r="M26" s="1"/>
      <c r="N26" s="2"/>
      <c r="O26" s="1"/>
      <c r="P26" s="1"/>
      <c r="Q26" s="1"/>
      <c r="R26" s="45"/>
      <c r="S26" s="1"/>
      <c r="T26" s="7"/>
      <c r="U26" s="7"/>
      <c r="V26" s="7"/>
      <c r="W26" s="189"/>
    </row>
    <row r="27" spans="1:28" ht="15.6">
      <c r="A27" s="204" t="s">
        <v>93</v>
      </c>
      <c r="B27" s="51"/>
      <c r="C27" s="54"/>
      <c r="D27" s="47"/>
      <c r="E27" s="1"/>
      <c r="F27" s="1"/>
      <c r="G27" s="1"/>
      <c r="H27" s="1"/>
      <c r="I27" s="1"/>
      <c r="J27" s="1"/>
      <c r="K27" s="1"/>
      <c r="L27" s="1"/>
      <c r="M27" s="1"/>
      <c r="N27" s="2">
        <f>-120*300</f>
        <v>-36000</v>
      </c>
      <c r="O27" s="1"/>
      <c r="P27" s="1"/>
      <c r="Q27" s="1"/>
      <c r="R27" s="45"/>
      <c r="S27" s="1"/>
      <c r="T27" s="7"/>
      <c r="U27" s="7"/>
      <c r="V27" s="7"/>
      <c r="W27" s="189"/>
    </row>
    <row r="28" spans="1:28" ht="15.6">
      <c r="A28" s="205" t="s">
        <v>94</v>
      </c>
      <c r="B28" s="52"/>
      <c r="C28" s="54"/>
      <c r="D28" s="47"/>
      <c r="E28" s="1">
        <f>-D25*0.2*B44</f>
        <v>125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5"/>
      <c r="S28" s="1"/>
      <c r="T28" s="7"/>
      <c r="U28" s="7"/>
      <c r="V28" s="7"/>
      <c r="W28" s="189"/>
    </row>
    <row r="29" spans="1:28" ht="15.6">
      <c r="A29" s="205" t="s">
        <v>95</v>
      </c>
      <c r="B29" s="197">
        <v>2E-3</v>
      </c>
      <c r="C29" s="54"/>
      <c r="D29" s="48">
        <f>D25*B29</f>
        <v>-500</v>
      </c>
      <c r="E29" s="1">
        <f>D29</f>
        <v>-500</v>
      </c>
      <c r="F29" s="1">
        <f>E29</f>
        <v>-500</v>
      </c>
      <c r="G29" s="1">
        <f>F29</f>
        <v>-500</v>
      </c>
      <c r="H29" s="1">
        <f t="shared" ref="H29:W29" si="0">G29</f>
        <v>-500</v>
      </c>
      <c r="I29" s="1">
        <f>H29</f>
        <v>-500</v>
      </c>
      <c r="J29" s="1">
        <f>I29</f>
        <v>-500</v>
      </c>
      <c r="K29" s="1">
        <f t="shared" si="0"/>
        <v>-500</v>
      </c>
      <c r="L29" s="1">
        <f>K29</f>
        <v>-500</v>
      </c>
      <c r="M29" s="1">
        <f t="shared" si="0"/>
        <v>-500</v>
      </c>
      <c r="N29" s="1">
        <f t="shared" si="0"/>
        <v>-500</v>
      </c>
      <c r="O29" s="1">
        <f>N29</f>
        <v>-500</v>
      </c>
      <c r="P29" s="1">
        <f>O29</f>
        <v>-500</v>
      </c>
      <c r="Q29" s="1">
        <f t="shared" si="0"/>
        <v>-500</v>
      </c>
      <c r="R29" s="45">
        <f t="shared" si="0"/>
        <v>-500</v>
      </c>
      <c r="S29" s="188">
        <f>R29</f>
        <v>-500</v>
      </c>
      <c r="T29" s="1">
        <f>S29</f>
        <v>-500</v>
      </c>
      <c r="U29" s="1">
        <f>T29</f>
        <v>-500</v>
      </c>
      <c r="V29" s="1">
        <f>U29</f>
        <v>-500</v>
      </c>
      <c r="W29" s="190">
        <f t="shared" si="0"/>
        <v>-500</v>
      </c>
    </row>
    <row r="30" spans="1:28" ht="15.6">
      <c r="A30" s="206" t="s">
        <v>96</v>
      </c>
      <c r="B30" s="52"/>
      <c r="C30" s="54"/>
      <c r="D30" s="48">
        <f>-Financieringsplan!C15</f>
        <v>-13500</v>
      </c>
      <c r="E30" s="1">
        <f>B46</f>
        <v>-7500</v>
      </c>
      <c r="F30" s="1">
        <f>-B46</f>
        <v>7500</v>
      </c>
      <c r="G30" s="1">
        <f>B46</f>
        <v>-7500</v>
      </c>
      <c r="H30" s="1">
        <f>B47</f>
        <v>-2500</v>
      </c>
      <c r="I30" s="1">
        <f>B47</f>
        <v>-2500</v>
      </c>
      <c r="J30" s="1">
        <f>B47</f>
        <v>-2500</v>
      </c>
      <c r="K30" s="1">
        <f>B47</f>
        <v>-2500</v>
      </c>
      <c r="L30" s="1">
        <f>B47</f>
        <v>-2500</v>
      </c>
      <c r="M30" s="1">
        <f>B47</f>
        <v>-2500</v>
      </c>
      <c r="N30" s="1">
        <f>B48</f>
        <v>-1500</v>
      </c>
      <c r="O30" s="1">
        <f>B48</f>
        <v>-1500</v>
      </c>
      <c r="P30" s="1">
        <f>B48</f>
        <v>-1500</v>
      </c>
      <c r="Q30" s="1">
        <f>B48</f>
        <v>-1500</v>
      </c>
      <c r="R30" s="45">
        <f>B48</f>
        <v>-1500</v>
      </c>
      <c r="S30" s="188">
        <v>0</v>
      </c>
      <c r="T30" s="45">
        <v>0</v>
      </c>
      <c r="U30" s="45">
        <v>0</v>
      </c>
      <c r="V30" s="45">
        <v>0</v>
      </c>
      <c r="W30" s="191">
        <v>0</v>
      </c>
    </row>
    <row r="31" spans="1:28" ht="15.6">
      <c r="A31" s="206" t="s">
        <v>97</v>
      </c>
      <c r="B31" s="59">
        <v>0.5</v>
      </c>
      <c r="C31" s="55">
        <v>85</v>
      </c>
      <c r="D31" s="49">
        <f>C11*B31*C31</f>
        <v>17204</v>
      </c>
      <c r="E31" s="2">
        <f>D31*B49</f>
        <v>17152.387999999999</v>
      </c>
      <c r="F31" s="2">
        <f>E31*B49</f>
        <v>17100.930836</v>
      </c>
      <c r="G31" s="2">
        <f>F31*B49</f>
        <v>17049.628043492001</v>
      </c>
      <c r="H31" s="2">
        <f>G31*B49</f>
        <v>16998.479159361526</v>
      </c>
      <c r="I31" s="2">
        <f>H31*B49</f>
        <v>16947.48372188344</v>
      </c>
      <c r="J31" s="2">
        <f>I31*B49</f>
        <v>16896.641270717788</v>
      </c>
      <c r="K31" s="2">
        <f>J31*B49</f>
        <v>16845.951346905633</v>
      </c>
      <c r="L31" s="2">
        <f>K31*B49</f>
        <v>16795.413492864915</v>
      </c>
      <c r="M31" s="2">
        <f>L31*B49</f>
        <v>16745.02725238632</v>
      </c>
      <c r="N31" s="2">
        <f>M31*B49</f>
        <v>16694.79217062916</v>
      </c>
      <c r="O31" s="2">
        <f>N31*B49</f>
        <v>16644.707794117272</v>
      </c>
      <c r="P31" s="2">
        <f>O31*B49</f>
        <v>16594.773670734921</v>
      </c>
      <c r="Q31" s="2">
        <f>P31*B49</f>
        <v>16544.989349722717</v>
      </c>
      <c r="R31" s="46">
        <f>Q31*B49</f>
        <v>16495.354381673547</v>
      </c>
      <c r="S31" s="192">
        <f>R31*B49</f>
        <v>16445.868318528526</v>
      </c>
      <c r="T31" s="2">
        <f>S31*B49</f>
        <v>16396.530713572942</v>
      </c>
      <c r="U31" s="2">
        <f>T31*B49</f>
        <v>16347.341121432222</v>
      </c>
      <c r="V31" s="2">
        <f>U31*B49</f>
        <v>16298.299098067926</v>
      </c>
      <c r="W31" s="193">
        <f>V31*B49</f>
        <v>16249.404200773723</v>
      </c>
    </row>
    <row r="32" spans="1:28" ht="15.6">
      <c r="A32" s="206" t="s">
        <v>98</v>
      </c>
      <c r="B32" s="59">
        <v>0.5</v>
      </c>
      <c r="C32" s="55">
        <v>50</v>
      </c>
      <c r="D32" s="49">
        <f>C11*B32*C32</f>
        <v>10120</v>
      </c>
      <c r="E32" s="2">
        <f>D32*B49</f>
        <v>10089.64</v>
      </c>
      <c r="F32" s="2">
        <f>E32*B49</f>
        <v>10059.371079999999</v>
      </c>
      <c r="G32" s="2">
        <f>F32*B49</f>
        <v>10029.19296676</v>
      </c>
      <c r="H32" s="2">
        <f>G32*B49</f>
        <v>9999.1053878597195</v>
      </c>
      <c r="I32" s="2">
        <f>H32*B49</f>
        <v>9969.1080716961405</v>
      </c>
      <c r="J32" s="2">
        <f>I32*B49</f>
        <v>9939.2007474810525</v>
      </c>
      <c r="K32" s="2">
        <f>J32*B49</f>
        <v>9909.3831452386094</v>
      </c>
      <c r="L32" s="2">
        <f>K32*B49</f>
        <v>9879.6549958028936</v>
      </c>
      <c r="M32" s="2">
        <f>L32*B49</f>
        <v>9850.0160308154846</v>
      </c>
      <c r="N32" s="2">
        <f>M32*B49</f>
        <v>9820.4659827230389</v>
      </c>
      <c r="O32" s="2">
        <f>N32*B49</f>
        <v>9791.0045847748697</v>
      </c>
      <c r="P32" s="2">
        <f>O32*B49</f>
        <v>9761.6315710205454</v>
      </c>
      <c r="Q32" s="2">
        <f>P32*B49</f>
        <v>9732.346676307483</v>
      </c>
      <c r="R32" s="46">
        <f>Q32*B49</f>
        <v>9703.1496362785601</v>
      </c>
      <c r="S32" s="192">
        <f>R32*B49</f>
        <v>9674.0401873697247</v>
      </c>
      <c r="T32" s="2">
        <f>S32*B49</f>
        <v>9645.0180668076155</v>
      </c>
      <c r="U32" s="2">
        <f>T32*B49</f>
        <v>9616.0830126071924</v>
      </c>
      <c r="V32" s="2">
        <f>U32*B49</f>
        <v>9587.2347635693714</v>
      </c>
      <c r="W32" s="193">
        <f>V32*B49</f>
        <v>9558.4730592786636</v>
      </c>
    </row>
    <row r="33" spans="1:23" ht="15.6">
      <c r="A33" s="207" t="s">
        <v>99</v>
      </c>
      <c r="B33" s="60">
        <v>0.1</v>
      </c>
      <c r="C33" s="7"/>
      <c r="D33" s="47">
        <f>D26*B33</f>
        <v>25000</v>
      </c>
      <c r="E33" s="2">
        <v>0</v>
      </c>
      <c r="F33" s="2">
        <f>E33*B49</f>
        <v>0</v>
      </c>
      <c r="G33" s="2">
        <f>F33*B49</f>
        <v>0</v>
      </c>
      <c r="H33" s="2">
        <f>G33*B49</f>
        <v>0</v>
      </c>
      <c r="I33" s="2">
        <f>H33*B49</f>
        <v>0</v>
      </c>
      <c r="J33" s="2">
        <f>I33*B49</f>
        <v>0</v>
      </c>
      <c r="K33" s="2">
        <f>J33*B49</f>
        <v>0</v>
      </c>
      <c r="L33" s="2">
        <f>K33*B49</f>
        <v>0</v>
      </c>
      <c r="M33" s="2">
        <f>L33*B49</f>
        <v>0</v>
      </c>
      <c r="N33" s="2">
        <v>0</v>
      </c>
      <c r="O33" s="2">
        <v>0</v>
      </c>
      <c r="P33" s="2">
        <v>0</v>
      </c>
      <c r="Q33" s="2">
        <v>0</v>
      </c>
      <c r="R33" s="46">
        <v>0</v>
      </c>
      <c r="S33" s="72">
        <v>0</v>
      </c>
      <c r="T33" s="68">
        <v>0</v>
      </c>
      <c r="U33" s="68">
        <v>0</v>
      </c>
      <c r="V33" s="68">
        <v>0</v>
      </c>
      <c r="W33" s="69">
        <v>0</v>
      </c>
    </row>
    <row r="34" spans="1:23" ht="15.6">
      <c r="A34" s="208" t="s">
        <v>100</v>
      </c>
      <c r="B34" s="53"/>
      <c r="C34" s="54"/>
      <c r="D34" s="47">
        <v>0</v>
      </c>
      <c r="E34" s="2">
        <f>D34*B49</f>
        <v>0</v>
      </c>
      <c r="F34" s="2">
        <f>E34*B49</f>
        <v>0</v>
      </c>
      <c r="G34" s="2">
        <f>F34*B49</f>
        <v>0</v>
      </c>
      <c r="H34" s="2">
        <f>G34*B49</f>
        <v>0</v>
      </c>
      <c r="I34" s="2">
        <f>H34*B49</f>
        <v>0</v>
      </c>
      <c r="J34" s="2">
        <f>I34*B49</f>
        <v>0</v>
      </c>
      <c r="K34" s="2">
        <f>J34*B49</f>
        <v>0</v>
      </c>
      <c r="L34" s="2">
        <f>K34*B49</f>
        <v>0</v>
      </c>
      <c r="M34" s="2">
        <f>L34*B49</f>
        <v>0</v>
      </c>
      <c r="N34" s="2">
        <f>M34*B49</f>
        <v>0</v>
      </c>
      <c r="O34" s="2">
        <f>N34*B49</f>
        <v>0</v>
      </c>
      <c r="P34" s="2">
        <f>O34*B49</f>
        <v>0</v>
      </c>
      <c r="Q34" s="2">
        <f>P34*B49</f>
        <v>0</v>
      </c>
      <c r="R34" s="46">
        <f>Q34*B49</f>
        <v>0</v>
      </c>
      <c r="S34" s="72">
        <f>R34*B49</f>
        <v>0</v>
      </c>
      <c r="T34" s="68">
        <f>S34*B49</f>
        <v>0</v>
      </c>
      <c r="U34" s="68">
        <f>T34*B49</f>
        <v>0</v>
      </c>
      <c r="V34" s="68">
        <f>U34*B49</f>
        <v>0</v>
      </c>
      <c r="W34" s="69">
        <f>V34*B49</f>
        <v>0</v>
      </c>
    </row>
    <row r="35" spans="1:23" ht="15.6">
      <c r="A35" s="208" t="s">
        <v>101</v>
      </c>
      <c r="B35" s="57"/>
      <c r="C35" s="54"/>
      <c r="D35" s="2">
        <v>0</v>
      </c>
      <c r="E35" s="47">
        <v>0</v>
      </c>
      <c r="F35" s="2">
        <f>($D$25-F37)*B51</f>
        <v>-5000</v>
      </c>
      <c r="G35" s="2">
        <f>($D$25-G37)*B51</f>
        <v>-5000</v>
      </c>
      <c r="H35" s="2">
        <f>($D$25-H37)*B51</f>
        <v>-4750</v>
      </c>
      <c r="I35" s="2">
        <f>($D$25-H37-I37)*$B$52</f>
        <v>-6750</v>
      </c>
      <c r="J35" s="2">
        <f>($D$25-H37-I37-J37)*$B$52</f>
        <v>-6375</v>
      </c>
      <c r="K35" s="2">
        <f>($D$25-H37-I37-J37-K37)*$B$52</f>
        <v>-6000</v>
      </c>
      <c r="L35" s="2">
        <f>($D$25-H37-I37-J37-K37-L37)*$B$52</f>
        <v>-5625</v>
      </c>
      <c r="M35" s="2">
        <f>($D$25-H37-I37-J37-K37-L37-M37)*$B$52</f>
        <v>-5250</v>
      </c>
      <c r="N35" s="2">
        <f>($D$25-H37-I37-J37-K37-L37-M37-N37)*$B$52</f>
        <v>-4875</v>
      </c>
      <c r="O35" s="2">
        <f>($D$25-H37-I37-J37-K37-L37-M37-N37-O37)*$B$52</f>
        <v>-4500</v>
      </c>
      <c r="P35" s="2">
        <f>($D$25-H37-I37-J37-K37-L37-M37-N37-O37-P37)*$B$52</f>
        <v>-4125</v>
      </c>
      <c r="Q35" s="2">
        <f>($D$25-H37-I37-J37-K37-L37-M37-N37-O37-P37-Q37)*$B$52</f>
        <v>-3750</v>
      </c>
      <c r="R35" s="46">
        <f>($D$25-H37-I37-J37-K37-L37-M37-N37-O37-P37-Q37-R38)*$B$52</f>
        <v>0</v>
      </c>
      <c r="S35" s="72"/>
      <c r="T35" s="66"/>
      <c r="U35" s="66"/>
      <c r="V35" s="66"/>
      <c r="W35" s="67"/>
    </row>
    <row r="36" spans="1:23" ht="15.6">
      <c r="A36" s="209" t="s">
        <v>102</v>
      </c>
      <c r="B36" s="15"/>
      <c r="C36" s="54"/>
      <c r="D36" s="47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46">
        <v>0</v>
      </c>
      <c r="S36" s="72">
        <v>0</v>
      </c>
      <c r="T36" s="68">
        <v>0</v>
      </c>
      <c r="U36" s="68">
        <v>0</v>
      </c>
      <c r="V36" s="68">
        <v>0</v>
      </c>
      <c r="W36" s="69">
        <v>0</v>
      </c>
    </row>
    <row r="37" spans="1:23" ht="15.6">
      <c r="A37" s="210" t="s">
        <v>103</v>
      </c>
      <c r="B37" s="142">
        <v>0.05</v>
      </c>
      <c r="C37" s="137"/>
      <c r="D37" s="138"/>
      <c r="E37" s="139"/>
      <c r="F37" s="139"/>
      <c r="G37" s="139"/>
      <c r="H37" s="139">
        <f>-D26*B37</f>
        <v>-12500</v>
      </c>
      <c r="I37" s="139">
        <f t="shared" ref="I37:Q37" si="1">H37</f>
        <v>-12500</v>
      </c>
      <c r="J37" s="139">
        <f t="shared" si="1"/>
        <v>-12500</v>
      </c>
      <c r="K37" s="139">
        <f t="shared" si="1"/>
        <v>-12500</v>
      </c>
      <c r="L37" s="139">
        <f t="shared" si="1"/>
        <v>-12500</v>
      </c>
      <c r="M37" s="139">
        <f t="shared" si="1"/>
        <v>-12500</v>
      </c>
      <c r="N37" s="139">
        <f t="shared" si="1"/>
        <v>-12500</v>
      </c>
      <c r="O37" s="139">
        <f t="shared" si="1"/>
        <v>-12500</v>
      </c>
      <c r="P37" s="139">
        <f t="shared" si="1"/>
        <v>-12500</v>
      </c>
      <c r="Q37" s="139">
        <f t="shared" si="1"/>
        <v>-12500</v>
      </c>
      <c r="R37" s="140"/>
      <c r="S37" s="141"/>
      <c r="T37" s="70"/>
      <c r="U37" s="194"/>
      <c r="V37" s="70"/>
      <c r="W37" s="71"/>
    </row>
    <row r="38" spans="1:23" ht="16.149999999999999" thickBot="1">
      <c r="A38" s="210" t="s">
        <v>103</v>
      </c>
      <c r="B38" s="143">
        <v>0.5</v>
      </c>
      <c r="C38" s="58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139">
        <f>-D26*B38</f>
        <v>-125000</v>
      </c>
      <c r="S38" s="73"/>
      <c r="T38" s="144"/>
      <c r="U38" s="144"/>
      <c r="V38" s="144"/>
      <c r="W38" s="145"/>
    </row>
    <row r="39" spans="1:23" s="135" customFormat="1" ht="18" thickBot="1">
      <c r="A39" s="136" t="s">
        <v>104</v>
      </c>
      <c r="B39" s="133"/>
      <c r="C39" s="107">
        <v>-250000</v>
      </c>
      <c r="D39" s="134">
        <f>SUM(D25:D37)</f>
        <v>38324</v>
      </c>
      <c r="E39" s="134">
        <f t="shared" ref="E39:W39" si="2">SUM(E25:E37)+D39</f>
        <v>57691.027999999998</v>
      </c>
      <c r="F39" s="134">
        <f t="shared" si="2"/>
        <v>86851.329915999988</v>
      </c>
      <c r="G39" s="134">
        <f t="shared" si="2"/>
        <v>100930.15092625198</v>
      </c>
      <c r="H39" s="134">
        <f t="shared" si="2"/>
        <v>107677.73547347324</v>
      </c>
      <c r="I39" s="134">
        <f t="shared" si="2"/>
        <v>112344.32726705281</v>
      </c>
      <c r="J39" s="134">
        <f t="shared" si="2"/>
        <v>117305.16928525164</v>
      </c>
      <c r="K39" s="134">
        <f t="shared" si="2"/>
        <v>122560.50377739588</v>
      </c>
      <c r="L39" s="134">
        <f t="shared" si="2"/>
        <v>128110.57226606368</v>
      </c>
      <c r="M39" s="134">
        <f t="shared" si="2"/>
        <v>133955.61554926549</v>
      </c>
      <c r="N39" s="134">
        <f t="shared" si="2"/>
        <v>105095.8737026177</v>
      </c>
      <c r="O39" s="134">
        <f t="shared" si="2"/>
        <v>112531.58608150984</v>
      </c>
      <c r="P39" s="134">
        <f t="shared" si="2"/>
        <v>120262.99132326531</v>
      </c>
      <c r="Q39" s="134">
        <f t="shared" si="2"/>
        <v>128290.3273492955</v>
      </c>
      <c r="R39" s="146">
        <f t="shared" si="2"/>
        <v>152488.83136724762</v>
      </c>
      <c r="S39" s="147">
        <f t="shared" si="2"/>
        <v>178108.73987314588</v>
      </c>
      <c r="T39" s="148">
        <f t="shared" si="2"/>
        <v>203650.28865352646</v>
      </c>
      <c r="U39" s="148">
        <f t="shared" si="2"/>
        <v>229113.71278756586</v>
      </c>
      <c r="V39" s="148">
        <f t="shared" si="2"/>
        <v>254499.24664920315</v>
      </c>
      <c r="W39" s="149">
        <f t="shared" si="2"/>
        <v>279807.12390925555</v>
      </c>
    </row>
    <row r="40" spans="1:23" s="135" customFormat="1" ht="15.6">
      <c r="A40" s="219"/>
      <c r="B40" s="223"/>
      <c r="C40" s="220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2"/>
      <c r="U40" s="222"/>
      <c r="V40" s="222"/>
      <c r="W40" s="222"/>
    </row>
    <row r="41" spans="1:23" s="135" customFormat="1" ht="15.6">
      <c r="A41" s="219" t="s">
        <v>105</v>
      </c>
      <c r="B41" s="224"/>
      <c r="C41" s="220"/>
      <c r="D41" s="221"/>
      <c r="E41" s="221"/>
      <c r="F41" s="221"/>
      <c r="G41" s="221"/>
      <c r="H41" s="221"/>
      <c r="I41" s="221"/>
      <c r="J41" s="221"/>
      <c r="K41" s="221"/>
      <c r="L41" s="221"/>
      <c r="M41" s="221">
        <f>IRR(C39:M39)</f>
        <v>0.29565097900920212</v>
      </c>
      <c r="N41" s="221"/>
      <c r="O41" s="221"/>
      <c r="P41" s="221"/>
      <c r="Q41" s="221"/>
      <c r="R41" s="221">
        <f>IRR(C39:R39)</f>
        <v>0.31728166207729003</v>
      </c>
      <c r="S41" s="221"/>
      <c r="T41" s="222"/>
      <c r="U41" s="222"/>
      <c r="V41" s="222"/>
      <c r="W41" s="221">
        <f>IRR(C39:W39)</f>
        <v>0.32523933436949903</v>
      </c>
    </row>
    <row r="42" spans="1:23" ht="15" thickBot="1">
      <c r="B42" s="79"/>
    </row>
    <row r="43" spans="1:23" ht="15" thickBot="1">
      <c r="A43" s="77" t="s">
        <v>106</v>
      </c>
      <c r="B43" s="78"/>
    </row>
    <row r="44" spans="1:23">
      <c r="A44" s="184" t="s">
        <v>107</v>
      </c>
      <c r="B44" s="80">
        <v>2.5000000000000001E-3</v>
      </c>
    </row>
    <row r="45" spans="1:23">
      <c r="A45" s="185" t="s">
        <v>108</v>
      </c>
      <c r="B45" s="81">
        <v>0.25</v>
      </c>
    </row>
    <row r="46" spans="1:23">
      <c r="A46" s="130" t="s">
        <v>109</v>
      </c>
      <c r="B46" s="82">
        <v>-7500</v>
      </c>
    </row>
    <row r="47" spans="1:23">
      <c r="A47" s="130" t="s">
        <v>110</v>
      </c>
      <c r="B47" s="82">
        <v>-2500</v>
      </c>
    </row>
    <row r="48" spans="1:23">
      <c r="A48" s="131" t="s">
        <v>111</v>
      </c>
      <c r="B48" s="83">
        <v>-1500</v>
      </c>
    </row>
    <row r="49" spans="1:2">
      <c r="A49" s="130" t="s">
        <v>112</v>
      </c>
      <c r="B49" s="84">
        <v>0.997</v>
      </c>
    </row>
    <row r="50" spans="1:2">
      <c r="A50" s="196" t="s">
        <v>113</v>
      </c>
      <c r="B50" s="84"/>
    </row>
    <row r="51" spans="1:2">
      <c r="A51" s="130" t="s">
        <v>114</v>
      </c>
      <c r="B51" s="85">
        <v>0.02</v>
      </c>
    </row>
    <row r="52" spans="1:2">
      <c r="A52" s="130" t="s">
        <v>115</v>
      </c>
      <c r="B52" s="85">
        <v>0.03</v>
      </c>
    </row>
    <row r="53" spans="1:2" ht="15" thickBot="1">
      <c r="A53" s="132" t="s">
        <v>116</v>
      </c>
      <c r="B53" s="86">
        <v>0</v>
      </c>
    </row>
  </sheetData>
  <mergeCells count="3">
    <mergeCell ref="A1:R1"/>
    <mergeCell ref="S1:W1"/>
    <mergeCell ref="Z1:AB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51E7-2778-4DBC-84E4-41A228717769}">
  <dimension ref="A1:K28"/>
  <sheetViews>
    <sheetView workbookViewId="0">
      <selection activeCell="J25" sqref="J25"/>
    </sheetView>
  </sheetViews>
  <sheetFormatPr defaultRowHeight="14.45"/>
  <cols>
    <col min="1" max="1" width="35.85546875" bestFit="1" customWidth="1"/>
    <col min="2" max="2" width="12.42578125" bestFit="1" customWidth="1"/>
    <col min="3" max="3" width="32.85546875" bestFit="1" customWidth="1"/>
    <col min="4" max="4" width="2.140625" customWidth="1"/>
    <col min="5" max="5" width="35.85546875" bestFit="1" customWidth="1"/>
    <col min="6" max="6" width="12.42578125" bestFit="1" customWidth="1"/>
    <col min="7" max="7" width="32.42578125" bestFit="1" customWidth="1"/>
    <col min="8" max="8" width="2.42578125" customWidth="1"/>
    <col min="9" max="9" width="35.85546875" bestFit="1" customWidth="1"/>
    <col min="10" max="10" width="12.42578125" bestFit="1" customWidth="1"/>
    <col min="11" max="11" width="32.42578125" bestFit="1" customWidth="1"/>
  </cols>
  <sheetData>
    <row r="1" spans="1:11" ht="15" thickBot="1">
      <c r="A1" s="262" t="s">
        <v>117</v>
      </c>
      <c r="B1" s="263"/>
      <c r="C1" s="264"/>
      <c r="E1" s="262" t="s">
        <v>118</v>
      </c>
      <c r="F1" s="263"/>
      <c r="G1" s="264"/>
      <c r="I1" s="262" t="s">
        <v>119</v>
      </c>
      <c r="J1" s="263"/>
      <c r="K1" s="264"/>
    </row>
    <row r="2" spans="1:11" ht="15" thickBot="1">
      <c r="A2" s="26" t="s">
        <v>1</v>
      </c>
      <c r="B2" s="43" t="s">
        <v>3</v>
      </c>
      <c r="C2" s="28" t="s">
        <v>4</v>
      </c>
      <c r="E2" s="41" t="s">
        <v>1</v>
      </c>
      <c r="F2" s="43" t="s">
        <v>3</v>
      </c>
      <c r="G2" s="42" t="s">
        <v>4</v>
      </c>
      <c r="I2" s="26" t="s">
        <v>1</v>
      </c>
      <c r="J2" s="43" t="s">
        <v>3</v>
      </c>
      <c r="K2" s="28" t="s">
        <v>4</v>
      </c>
    </row>
    <row r="3" spans="1:11" ht="15" thickBot="1">
      <c r="A3" s="265" t="s">
        <v>120</v>
      </c>
      <c r="B3" s="266"/>
      <c r="C3" s="267"/>
      <c r="E3" s="265" t="s">
        <v>120</v>
      </c>
      <c r="F3" s="266"/>
      <c r="G3" s="267"/>
      <c r="I3" s="265" t="s">
        <v>120</v>
      </c>
      <c r="J3" s="266"/>
      <c r="K3" s="267"/>
    </row>
    <row r="4" spans="1:11">
      <c r="A4" s="10" t="s">
        <v>121</v>
      </c>
      <c r="B4" s="11"/>
      <c r="C4" s="12"/>
      <c r="E4" s="10" t="s">
        <v>121</v>
      </c>
      <c r="F4" s="11"/>
      <c r="G4" s="12"/>
      <c r="I4" s="10" t="s">
        <v>121</v>
      </c>
      <c r="J4" s="11"/>
      <c r="K4" s="12"/>
    </row>
    <row r="5" spans="1:11">
      <c r="A5" s="13" t="s">
        <v>122</v>
      </c>
      <c r="B5" s="6">
        <f>Financieringsplan!C15</f>
        <v>13500</v>
      </c>
      <c r="C5" s="14"/>
      <c r="E5" s="13" t="s">
        <v>122</v>
      </c>
      <c r="F5" s="6">
        <v>0</v>
      </c>
      <c r="G5" s="14"/>
      <c r="I5" s="13" t="s">
        <v>122</v>
      </c>
      <c r="J5" s="6">
        <v>0</v>
      </c>
      <c r="K5" s="14"/>
    </row>
    <row r="6" spans="1:11">
      <c r="A6" s="13" t="s">
        <v>123</v>
      </c>
      <c r="B6" s="6">
        <v>0</v>
      </c>
      <c r="C6" s="14" t="s">
        <v>124</v>
      </c>
      <c r="E6" s="13" t="s">
        <v>123</v>
      </c>
      <c r="F6" s="6">
        <v>0</v>
      </c>
      <c r="G6" s="14" t="s">
        <v>124</v>
      </c>
      <c r="I6" s="13" t="s">
        <v>123</v>
      </c>
      <c r="J6" s="6">
        <v>0</v>
      </c>
      <c r="K6" s="14" t="s">
        <v>124</v>
      </c>
    </row>
    <row r="7" spans="1:11">
      <c r="A7" s="13" t="s">
        <v>125</v>
      </c>
      <c r="B7" s="8">
        <f>Financieringsplan!C14</f>
        <v>229900</v>
      </c>
      <c r="C7" s="14" t="s">
        <v>126</v>
      </c>
      <c r="E7" s="13" t="s">
        <v>125</v>
      </c>
      <c r="F7" s="8">
        <f>B7*0.95</f>
        <v>218405</v>
      </c>
      <c r="G7" s="14" t="s">
        <v>126</v>
      </c>
      <c r="I7" s="13" t="s">
        <v>125</v>
      </c>
      <c r="J7" s="8">
        <f>F7*0.95</f>
        <v>207484.75</v>
      </c>
      <c r="K7" s="14" t="s">
        <v>126</v>
      </c>
    </row>
    <row r="8" spans="1:11">
      <c r="A8" s="13" t="s">
        <v>127</v>
      </c>
      <c r="B8" s="3">
        <v>0</v>
      </c>
      <c r="C8" s="14"/>
      <c r="E8" s="13" t="s">
        <v>127</v>
      </c>
      <c r="F8" s="3">
        <v>0</v>
      </c>
      <c r="G8" s="14"/>
      <c r="I8" s="13" t="s">
        <v>127</v>
      </c>
      <c r="K8" s="14"/>
    </row>
    <row r="9" spans="1:11">
      <c r="A9" s="15" t="s">
        <v>128</v>
      </c>
      <c r="B9" s="6"/>
      <c r="C9" s="14"/>
      <c r="E9" s="15" t="s">
        <v>128</v>
      </c>
      <c r="F9" s="6"/>
      <c r="G9" s="14"/>
      <c r="I9" s="15" t="s">
        <v>128</v>
      </c>
      <c r="J9" s="6"/>
      <c r="K9" s="14"/>
    </row>
    <row r="10" spans="1:11" ht="15" thickBot="1">
      <c r="A10" s="17" t="s">
        <v>124</v>
      </c>
      <c r="B10" s="8">
        <f>Cashflow!D39</f>
        <v>38324</v>
      </c>
      <c r="C10" s="14" t="s">
        <v>129</v>
      </c>
      <c r="E10" s="17" t="s">
        <v>124</v>
      </c>
      <c r="F10" s="8">
        <f>Cashflow!E39</f>
        <v>57691.027999999998</v>
      </c>
      <c r="G10" s="14" t="s">
        <v>129</v>
      </c>
      <c r="I10" s="17" t="s">
        <v>124</v>
      </c>
      <c r="J10" s="8">
        <f>Cashflow!F39</f>
        <v>86851.329915999988</v>
      </c>
      <c r="K10" s="14" t="s">
        <v>129</v>
      </c>
    </row>
    <row r="11" spans="1:11" ht="15" thickBot="1">
      <c r="A11" s="23" t="s">
        <v>130</v>
      </c>
      <c r="B11" s="24">
        <f>SUM(B4:B10)</f>
        <v>281724</v>
      </c>
      <c r="C11" s="25"/>
      <c r="E11" s="23" t="s">
        <v>130</v>
      </c>
      <c r="F11" s="24">
        <f>SUM(F4:F10)</f>
        <v>276096.02799999999</v>
      </c>
      <c r="G11" s="25"/>
      <c r="I11" s="23" t="s">
        <v>130</v>
      </c>
      <c r="J11" s="24">
        <f>SUM(J4:J10)</f>
        <v>294336.07991600002</v>
      </c>
      <c r="K11" s="25"/>
    </row>
    <row r="12" spans="1:11" ht="15" thickBot="1">
      <c r="A12" s="4"/>
      <c r="B12" s="3"/>
      <c r="C12" s="5"/>
      <c r="E12" s="4"/>
      <c r="F12" s="3"/>
      <c r="G12" s="5"/>
      <c r="I12" s="4"/>
      <c r="J12" s="3"/>
      <c r="K12" s="5"/>
    </row>
    <row r="13" spans="1:11">
      <c r="A13" s="265" t="s">
        <v>131</v>
      </c>
      <c r="B13" s="266"/>
      <c r="C13" s="267"/>
      <c r="E13" s="265" t="s">
        <v>131</v>
      </c>
      <c r="F13" s="266"/>
      <c r="G13" s="267"/>
      <c r="I13" s="265" t="s">
        <v>131</v>
      </c>
      <c r="J13" s="266"/>
      <c r="K13" s="267"/>
    </row>
    <row r="14" spans="1:11">
      <c r="A14" s="15" t="s">
        <v>132</v>
      </c>
      <c r="B14" s="6"/>
      <c r="C14" s="16"/>
      <c r="E14" s="15" t="s">
        <v>132</v>
      </c>
      <c r="F14" s="6"/>
      <c r="G14" s="16"/>
      <c r="I14" s="15" t="s">
        <v>132</v>
      </c>
      <c r="J14" s="6"/>
      <c r="K14" s="16"/>
    </row>
    <row r="15" spans="1:11">
      <c r="A15" s="13" t="s">
        <v>133</v>
      </c>
      <c r="B15" s="6">
        <f>Cashflow!D26</f>
        <v>250000</v>
      </c>
      <c r="C15" s="16" t="s">
        <v>134</v>
      </c>
      <c r="E15" s="13" t="s">
        <v>133</v>
      </c>
      <c r="F15" s="6">
        <f>B15</f>
        <v>250000</v>
      </c>
      <c r="G15" s="16" t="s">
        <v>134</v>
      </c>
      <c r="I15" s="13" t="s">
        <v>133</v>
      </c>
      <c r="J15" s="6">
        <f>F15</f>
        <v>250000</v>
      </c>
      <c r="K15" s="16" t="s">
        <v>134</v>
      </c>
    </row>
    <row r="16" spans="1:11">
      <c r="A16" s="13" t="s">
        <v>135</v>
      </c>
      <c r="B16" s="6">
        <v>0</v>
      </c>
      <c r="C16" s="16"/>
      <c r="E16" s="13" t="s">
        <v>135</v>
      </c>
      <c r="F16" s="6">
        <v>0</v>
      </c>
      <c r="G16" s="16"/>
      <c r="I16" s="13" t="s">
        <v>135</v>
      </c>
      <c r="J16" s="6">
        <v>0</v>
      </c>
      <c r="K16" s="16"/>
    </row>
    <row r="17" spans="1:11">
      <c r="A17" s="13" t="s">
        <v>136</v>
      </c>
      <c r="B17" s="6">
        <v>0</v>
      </c>
      <c r="C17" s="16"/>
      <c r="E17" s="13" t="s">
        <v>136</v>
      </c>
      <c r="F17" s="6">
        <v>0</v>
      </c>
      <c r="G17" s="16"/>
      <c r="I17" s="13" t="s">
        <v>136</v>
      </c>
      <c r="J17" s="6">
        <v>0</v>
      </c>
      <c r="K17" s="16"/>
    </row>
    <row r="18" spans="1:11">
      <c r="A18" s="13" t="s">
        <v>137</v>
      </c>
      <c r="B18" s="6">
        <v>0</v>
      </c>
      <c r="C18" s="16"/>
      <c r="E18" s="13" t="s">
        <v>137</v>
      </c>
      <c r="F18" s="6">
        <v>0</v>
      </c>
      <c r="G18" s="16"/>
      <c r="I18" s="13" t="s">
        <v>137</v>
      </c>
      <c r="J18" s="6">
        <v>0</v>
      </c>
      <c r="K18" s="16"/>
    </row>
    <row r="19" spans="1:11">
      <c r="A19" s="13" t="s">
        <v>138</v>
      </c>
      <c r="B19" s="6">
        <v>0</v>
      </c>
      <c r="C19" s="16"/>
      <c r="E19" s="13" t="s">
        <v>138</v>
      </c>
      <c r="F19" s="6">
        <v>0</v>
      </c>
      <c r="G19" s="16"/>
      <c r="I19" s="13" t="s">
        <v>138</v>
      </c>
      <c r="J19" s="6">
        <v>0</v>
      </c>
      <c r="K19" s="16"/>
    </row>
    <row r="20" spans="1:11">
      <c r="A20" s="13" t="s">
        <v>139</v>
      </c>
      <c r="B20" s="6">
        <v>0</v>
      </c>
      <c r="C20" s="16"/>
      <c r="E20" s="13" t="s">
        <v>139</v>
      </c>
      <c r="F20" s="6">
        <v>0</v>
      </c>
      <c r="G20" s="16"/>
      <c r="I20" s="13" t="s">
        <v>139</v>
      </c>
      <c r="J20" s="6">
        <v>0</v>
      </c>
      <c r="K20" s="16"/>
    </row>
    <row r="21" spans="1:11">
      <c r="A21" s="15" t="s">
        <v>140</v>
      </c>
      <c r="B21" s="6"/>
      <c r="C21" s="16"/>
      <c r="E21" s="15" t="s">
        <v>140</v>
      </c>
      <c r="F21" s="6"/>
      <c r="G21" s="16"/>
      <c r="I21" s="15" t="s">
        <v>140</v>
      </c>
      <c r="J21" s="6"/>
      <c r="K21" s="16"/>
    </row>
    <row r="22" spans="1:11">
      <c r="A22" s="13" t="s">
        <v>141</v>
      </c>
      <c r="B22" s="6">
        <v>0</v>
      </c>
      <c r="C22" s="16"/>
      <c r="E22" s="13" t="s">
        <v>141</v>
      </c>
      <c r="F22" s="6">
        <v>0</v>
      </c>
      <c r="G22" s="16"/>
      <c r="I22" s="13" t="s">
        <v>141</v>
      </c>
      <c r="J22" s="6">
        <v>0</v>
      </c>
      <c r="K22" s="16"/>
    </row>
    <row r="23" spans="1:11">
      <c r="A23" s="13" t="s">
        <v>142</v>
      </c>
      <c r="B23" s="6">
        <v>0</v>
      </c>
      <c r="C23" s="16"/>
      <c r="E23" s="13" t="s">
        <v>142</v>
      </c>
      <c r="F23" s="6">
        <v>0</v>
      </c>
      <c r="G23" s="16"/>
      <c r="I23" s="13" t="s">
        <v>142</v>
      </c>
      <c r="J23" s="6">
        <v>0</v>
      </c>
      <c r="K23" s="16"/>
    </row>
    <row r="24" spans="1:11">
      <c r="A24" s="15" t="s">
        <v>143</v>
      </c>
      <c r="B24" s="6"/>
      <c r="C24" s="16"/>
      <c r="E24" s="15" t="s">
        <v>143</v>
      </c>
      <c r="F24" s="6"/>
      <c r="G24" s="16"/>
      <c r="I24" s="15" t="s">
        <v>143</v>
      </c>
      <c r="J24" s="6"/>
      <c r="K24" s="16"/>
    </row>
    <row r="25" spans="1:11">
      <c r="A25" s="13" t="s">
        <v>144</v>
      </c>
      <c r="B25" s="6">
        <v>0</v>
      </c>
      <c r="C25" s="16"/>
      <c r="E25" s="13" t="s">
        <v>144</v>
      </c>
      <c r="F25" s="6">
        <v>0</v>
      </c>
      <c r="G25" s="16"/>
      <c r="I25" s="13" t="s">
        <v>144</v>
      </c>
      <c r="J25" s="6">
        <v>0</v>
      </c>
      <c r="K25" s="16"/>
    </row>
    <row r="26" spans="1:11">
      <c r="A26" s="13" t="s">
        <v>145</v>
      </c>
      <c r="B26" s="6">
        <v>0</v>
      </c>
      <c r="C26" s="16"/>
      <c r="E26" s="13" t="s">
        <v>145</v>
      </c>
      <c r="F26" s="6">
        <v>0</v>
      </c>
      <c r="G26" s="16"/>
      <c r="I26" s="13" t="s">
        <v>145</v>
      </c>
      <c r="J26" s="6">
        <v>0</v>
      </c>
      <c r="K26" s="16"/>
    </row>
    <row r="27" spans="1:11" ht="15" thickBot="1">
      <c r="A27" s="17" t="s">
        <v>146</v>
      </c>
      <c r="B27" s="18">
        <v>0</v>
      </c>
      <c r="C27" s="19"/>
      <c r="E27" s="17" t="s">
        <v>146</v>
      </c>
      <c r="F27" s="18">
        <v>0</v>
      </c>
      <c r="G27" s="19"/>
      <c r="I27" s="17" t="s">
        <v>146</v>
      </c>
      <c r="J27" s="18">
        <v>0</v>
      </c>
      <c r="K27" s="19"/>
    </row>
    <row r="28" spans="1:11" ht="15" thickBot="1">
      <c r="A28" s="20" t="s">
        <v>130</v>
      </c>
      <c r="B28" s="21">
        <f>SUM(B15:B27)</f>
        <v>250000</v>
      </c>
      <c r="C28" s="22"/>
      <c r="E28" s="20" t="s">
        <v>130</v>
      </c>
      <c r="F28" s="21">
        <f>SUM(F15:F27)</f>
        <v>250000</v>
      </c>
      <c r="G28" s="22"/>
      <c r="I28" s="20" t="s">
        <v>130</v>
      </c>
      <c r="J28" s="21">
        <f>SUM(J15:J27)</f>
        <v>250000</v>
      </c>
      <c r="K28" s="22"/>
    </row>
  </sheetData>
  <mergeCells count="9">
    <mergeCell ref="I1:K1"/>
    <mergeCell ref="I3:K3"/>
    <mergeCell ref="I13:K13"/>
    <mergeCell ref="A1:C1"/>
    <mergeCell ref="A3:C3"/>
    <mergeCell ref="A13:C13"/>
    <mergeCell ref="E1:G1"/>
    <mergeCell ref="E3:G3"/>
    <mergeCell ref="E13:G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A900-46CF-4E3C-9CE9-CCED4B2C1DD0}">
  <dimension ref="A1:D24"/>
  <sheetViews>
    <sheetView workbookViewId="0">
      <selection activeCell="B25" sqref="B25"/>
    </sheetView>
  </sheetViews>
  <sheetFormatPr defaultRowHeight="14.45"/>
  <cols>
    <col min="1" max="1" width="40.85546875" bestFit="1" customWidth="1"/>
    <col min="2" max="4" width="12.140625" bestFit="1" customWidth="1"/>
  </cols>
  <sheetData>
    <row r="1" spans="1:4" ht="15" thickBot="1">
      <c r="A1" s="268" t="s">
        <v>147</v>
      </c>
      <c r="B1" s="269"/>
      <c r="C1" s="269"/>
      <c r="D1" s="273"/>
    </row>
    <row r="2" spans="1:4" ht="15" thickBot="1">
      <c r="A2" s="26" t="s">
        <v>1</v>
      </c>
      <c r="B2" s="27" t="s">
        <v>148</v>
      </c>
      <c r="C2" s="27" t="s">
        <v>149</v>
      </c>
      <c r="D2" s="28" t="s">
        <v>150</v>
      </c>
    </row>
    <row r="3" spans="1:4">
      <c r="A3" s="10" t="s">
        <v>151</v>
      </c>
      <c r="B3" s="11"/>
      <c r="C3" s="30"/>
      <c r="D3" s="12"/>
    </row>
    <row r="4" spans="1:4">
      <c r="A4" s="13" t="s">
        <v>152</v>
      </c>
      <c r="B4" s="6">
        <f>Cashflow!D31+Cashflow!D32</f>
        <v>27324</v>
      </c>
      <c r="C4" s="6">
        <f>Cashflow!E31+Cashflow!E32</f>
        <v>27242.027999999998</v>
      </c>
      <c r="D4" s="36">
        <f>Cashflow!F31+Cashflow!F32</f>
        <v>27160.301915999997</v>
      </c>
    </row>
    <row r="5" spans="1:4">
      <c r="A5" s="13" t="s">
        <v>153</v>
      </c>
      <c r="B5" s="6">
        <f>Cashflow!D33+Cashflow!D34</f>
        <v>25000</v>
      </c>
      <c r="C5" s="6">
        <f>Cashflow!E33+Cashflow!E34</f>
        <v>0</v>
      </c>
      <c r="D5" s="36">
        <f>Cashflow!F33+Cashflow!F34</f>
        <v>0</v>
      </c>
    </row>
    <row r="6" spans="1:4">
      <c r="A6" s="15" t="s">
        <v>154</v>
      </c>
      <c r="B6" s="8"/>
      <c r="C6" s="7"/>
      <c r="D6" s="14"/>
    </row>
    <row r="7" spans="1:4">
      <c r="A7" s="13" t="s">
        <v>155</v>
      </c>
      <c r="B7" s="8">
        <v>0</v>
      </c>
      <c r="C7" s="8">
        <v>0</v>
      </c>
      <c r="D7" s="31">
        <v>0</v>
      </c>
    </row>
    <row r="8" spans="1:4">
      <c r="A8" s="13" t="s">
        <v>156</v>
      </c>
      <c r="B8" s="6">
        <f>Cashflow!D25/20</f>
        <v>-12500</v>
      </c>
      <c r="C8" s="8">
        <f>B8</f>
        <v>-12500</v>
      </c>
      <c r="D8" s="31">
        <f>C8</f>
        <v>-12500</v>
      </c>
    </row>
    <row r="9" spans="1:4">
      <c r="A9" s="13" t="s">
        <v>157</v>
      </c>
      <c r="B9" s="6">
        <v>0</v>
      </c>
      <c r="C9" s="6">
        <v>0</v>
      </c>
      <c r="D9" s="36">
        <v>0</v>
      </c>
    </row>
    <row r="10" spans="1:4">
      <c r="A10" s="13" t="s">
        <v>141</v>
      </c>
      <c r="B10" s="29">
        <v>0</v>
      </c>
      <c r="C10" s="29">
        <v>0</v>
      </c>
      <c r="D10" s="37">
        <v>0</v>
      </c>
    </row>
    <row r="11" spans="1:4">
      <c r="A11" s="13" t="s">
        <v>158</v>
      </c>
      <c r="B11" s="6">
        <v>0</v>
      </c>
      <c r="C11" s="6">
        <v>0</v>
      </c>
      <c r="D11" s="36">
        <v>0</v>
      </c>
    </row>
    <row r="12" spans="1:4">
      <c r="A12" s="15" t="s">
        <v>159</v>
      </c>
      <c r="B12" s="6"/>
      <c r="C12" s="9"/>
      <c r="D12" s="14"/>
    </row>
    <row r="13" spans="1:4">
      <c r="A13" s="15" t="s">
        <v>160</v>
      </c>
      <c r="B13" s="6"/>
      <c r="C13" s="9"/>
      <c r="D13" s="14"/>
    </row>
    <row r="14" spans="1:4">
      <c r="A14" s="13" t="s">
        <v>161</v>
      </c>
      <c r="B14" s="6">
        <v>0</v>
      </c>
      <c r="C14" s="6">
        <v>0</v>
      </c>
      <c r="D14" s="36">
        <v>0</v>
      </c>
    </row>
    <row r="15" spans="1:4">
      <c r="A15" s="13" t="s">
        <v>162</v>
      </c>
      <c r="B15" s="6">
        <v>0</v>
      </c>
      <c r="C15" s="6">
        <f>Cashflow!E28</f>
        <v>125</v>
      </c>
      <c r="D15" s="36">
        <v>0</v>
      </c>
    </row>
    <row r="16" spans="1:4">
      <c r="A16" s="15" t="s">
        <v>163</v>
      </c>
      <c r="B16" s="6"/>
      <c r="C16" s="9"/>
      <c r="D16" s="14"/>
    </row>
    <row r="17" spans="1:4">
      <c r="A17" s="13" t="s">
        <v>164</v>
      </c>
      <c r="B17" s="6">
        <f>Cashflow!D35</f>
        <v>0</v>
      </c>
      <c r="C17" s="6">
        <f>Cashflow!E35</f>
        <v>0</v>
      </c>
      <c r="D17" s="36">
        <f>Cashflow!F35</f>
        <v>-5000</v>
      </c>
    </row>
    <row r="18" spans="1:4">
      <c r="A18" s="13" t="s">
        <v>165</v>
      </c>
      <c r="B18" s="6"/>
      <c r="C18" s="9"/>
      <c r="D18" s="14"/>
    </row>
    <row r="19" spans="1:4">
      <c r="A19" s="15" t="s">
        <v>166</v>
      </c>
      <c r="B19" s="6"/>
      <c r="C19" s="9"/>
      <c r="D19" s="14"/>
    </row>
    <row r="20" spans="1:4">
      <c r="A20" s="15" t="s">
        <v>167</v>
      </c>
      <c r="B20" s="6">
        <f>SUM(B4:B19)</f>
        <v>39824</v>
      </c>
      <c r="C20" s="6">
        <f>SUM(C4:C19)</f>
        <v>14867.027999999998</v>
      </c>
      <c r="D20" s="36">
        <f>SUM(D4:D19)</f>
        <v>9660.3019159999967</v>
      </c>
    </row>
    <row r="21" spans="1:4">
      <c r="A21" s="13" t="s">
        <v>168</v>
      </c>
      <c r="B21" s="7"/>
      <c r="C21" s="7"/>
      <c r="D21" s="14"/>
    </row>
    <row r="22" spans="1:4">
      <c r="A22" s="13" t="s">
        <v>169</v>
      </c>
      <c r="B22" s="7"/>
      <c r="C22" s="7"/>
      <c r="D22" s="14"/>
    </row>
    <row r="23" spans="1:4" ht="15" thickBot="1">
      <c r="A23" s="32" t="s">
        <v>170</v>
      </c>
      <c r="B23" s="33">
        <f>-B20*Cashflow!B51</f>
        <v>-796.48</v>
      </c>
      <c r="C23" s="33">
        <f>-C20*Cashflow!B51</f>
        <v>-297.34055999999998</v>
      </c>
      <c r="D23" s="38">
        <f>-D20*Cashflow!B51</f>
        <v>-193.20603831999995</v>
      </c>
    </row>
    <row r="24" spans="1:4" ht="15" thickBot="1">
      <c r="A24" s="34" t="s">
        <v>171</v>
      </c>
      <c r="B24" s="35">
        <f>B20+B23</f>
        <v>39027.519999999997</v>
      </c>
      <c r="C24" s="35">
        <f>C20+C23</f>
        <v>14569.687439999998</v>
      </c>
      <c r="D24" s="39">
        <f>D20+D23</f>
        <v>9467.0958776799962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956A-C191-412A-A9EA-431B64952D9A}">
  <dimension ref="A1:C24"/>
  <sheetViews>
    <sheetView workbookViewId="0">
      <selection activeCell="C8" sqref="C8"/>
    </sheetView>
  </sheetViews>
  <sheetFormatPr defaultRowHeight="14.45"/>
  <cols>
    <col min="1" max="1" width="40.85546875" bestFit="1" customWidth="1"/>
    <col min="2" max="2" width="12.140625" bestFit="1" customWidth="1"/>
    <col min="3" max="3" width="11.85546875" bestFit="1" customWidth="1"/>
  </cols>
  <sheetData>
    <row r="1" spans="1:3" ht="15" thickBot="1">
      <c r="A1" s="270" t="s">
        <v>172</v>
      </c>
      <c r="B1" s="271"/>
      <c r="C1" s="272"/>
    </row>
    <row r="2" spans="1:3" ht="15" thickBot="1">
      <c r="A2" s="26" t="s">
        <v>1</v>
      </c>
      <c r="B2" s="27" t="s">
        <v>148</v>
      </c>
      <c r="C2" s="28" t="s">
        <v>149</v>
      </c>
    </row>
    <row r="3" spans="1:3">
      <c r="A3" s="10" t="s">
        <v>151</v>
      </c>
      <c r="B3" s="11"/>
      <c r="C3" s="12"/>
    </row>
    <row r="4" spans="1:3">
      <c r="A4" s="13" t="s">
        <v>152</v>
      </c>
      <c r="B4" s="6">
        <f>Cashflow!D31+Cashflow!D32</f>
        <v>27324</v>
      </c>
      <c r="C4" s="44">
        <f>Cashflow!E31+Cashflow!E32</f>
        <v>27242.027999999998</v>
      </c>
    </row>
    <row r="5" spans="1:3">
      <c r="A5" s="13" t="s">
        <v>153</v>
      </c>
      <c r="B5" s="6">
        <f>Cashflow!D33+Cashflow!D34</f>
        <v>25000</v>
      </c>
      <c r="C5" s="44">
        <f>Cashflow!E33+Cashflow!E34</f>
        <v>0</v>
      </c>
    </row>
    <row r="6" spans="1:3">
      <c r="A6" s="15" t="s">
        <v>154</v>
      </c>
      <c r="B6" s="8"/>
      <c r="C6" s="14"/>
    </row>
    <row r="7" spans="1:3">
      <c r="A7" s="13" t="s">
        <v>155</v>
      </c>
      <c r="B7" s="8">
        <v>0</v>
      </c>
      <c r="C7" s="31">
        <v>0</v>
      </c>
    </row>
    <row r="8" spans="1:3">
      <c r="A8" s="13" t="s">
        <v>156</v>
      </c>
      <c r="B8" s="6">
        <f>Cashflow!D25/20</f>
        <v>-12500</v>
      </c>
      <c r="C8" s="31">
        <f>B8</f>
        <v>-12500</v>
      </c>
    </row>
    <row r="9" spans="1:3">
      <c r="A9" s="13" t="s">
        <v>157</v>
      </c>
      <c r="B9" s="6">
        <v>0</v>
      </c>
      <c r="C9" s="36">
        <v>0</v>
      </c>
    </row>
    <row r="10" spans="1:3">
      <c r="A10" s="13" t="s">
        <v>141</v>
      </c>
      <c r="B10" s="29">
        <v>0</v>
      </c>
      <c r="C10" s="37">
        <v>0</v>
      </c>
    </row>
    <row r="11" spans="1:3">
      <c r="A11" s="13" t="s">
        <v>158</v>
      </c>
      <c r="B11" s="6">
        <v>0</v>
      </c>
      <c r="C11" s="36">
        <v>0</v>
      </c>
    </row>
    <row r="12" spans="1:3">
      <c r="A12" s="15" t="s">
        <v>159</v>
      </c>
      <c r="B12" s="6"/>
      <c r="C12" s="16"/>
    </row>
    <row r="13" spans="1:3">
      <c r="A13" s="15" t="s">
        <v>160</v>
      </c>
      <c r="B13" s="6"/>
      <c r="C13" s="16"/>
    </row>
    <row r="14" spans="1:3">
      <c r="A14" s="13" t="s">
        <v>161</v>
      </c>
      <c r="B14" s="6">
        <v>0</v>
      </c>
      <c r="C14" s="36">
        <v>0</v>
      </c>
    </row>
    <row r="15" spans="1:3">
      <c r="A15" s="13" t="s">
        <v>162</v>
      </c>
      <c r="B15" s="6">
        <v>0</v>
      </c>
      <c r="C15" s="36">
        <f>Cashflow!E28</f>
        <v>125</v>
      </c>
    </row>
    <row r="16" spans="1:3">
      <c r="A16" s="15" t="s">
        <v>163</v>
      </c>
      <c r="B16" s="6"/>
      <c r="C16" s="16"/>
    </row>
    <row r="17" spans="1:3">
      <c r="A17" s="13" t="s">
        <v>164</v>
      </c>
      <c r="B17" s="6">
        <f>Cashflow!D35</f>
        <v>0</v>
      </c>
      <c r="C17" s="36">
        <f>Cashflow!E35</f>
        <v>0</v>
      </c>
    </row>
    <row r="18" spans="1:3">
      <c r="A18" s="13" t="s">
        <v>165</v>
      </c>
      <c r="B18" s="6"/>
      <c r="C18" s="16"/>
    </row>
    <row r="19" spans="1:3">
      <c r="A19" s="15" t="s">
        <v>166</v>
      </c>
      <c r="B19" s="6"/>
      <c r="C19" s="16"/>
    </row>
    <row r="20" spans="1:3">
      <c r="A20" s="15" t="s">
        <v>167</v>
      </c>
      <c r="B20" s="6">
        <f>SUM(B4:B19)</f>
        <v>39824</v>
      </c>
      <c r="C20" s="36">
        <f t="shared" ref="C20" si="0">SUM(C4:C19)</f>
        <v>14867.027999999998</v>
      </c>
    </row>
    <row r="21" spans="1:3">
      <c r="A21" s="13" t="s">
        <v>168</v>
      </c>
      <c r="B21" s="7"/>
      <c r="C21" s="14"/>
    </row>
    <row r="22" spans="1:3">
      <c r="A22" s="13" t="s">
        <v>169</v>
      </c>
      <c r="B22" s="7"/>
      <c r="C22" s="14"/>
    </row>
    <row r="23" spans="1:3" ht="15" thickBot="1">
      <c r="A23" s="32" t="s">
        <v>170</v>
      </c>
      <c r="B23" s="33">
        <f>-B20*Cashflow!B51</f>
        <v>-796.48</v>
      </c>
      <c r="C23" s="38">
        <f>-C20*Cashflow!B51</f>
        <v>-297.34055999999998</v>
      </c>
    </row>
    <row r="24" spans="1:3" ht="15" thickBot="1">
      <c r="A24" s="34" t="s">
        <v>171</v>
      </c>
      <c r="B24" s="35">
        <f>B20+B23</f>
        <v>39027.519999999997</v>
      </c>
      <c r="C24" s="39">
        <f t="shared" ref="C24" si="1">C20+C23</f>
        <v>14569.687439999998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544caa-9115-4daa-aa1b-fc1aaa0525a2" xsi:nil="true"/>
    <lcf76f155ced4ddcb4097134ff3c332f xmlns="32b9edc6-a32a-4b14-b9cd-066b90f571f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F67F5492BDF489D9308825B7AB17C" ma:contentTypeVersion="16" ma:contentTypeDescription="Create a new document." ma:contentTypeScope="" ma:versionID="159dbc1a3555d399fe536fe2ce6c04d2">
  <xsd:schema xmlns:xsd="http://www.w3.org/2001/XMLSchema" xmlns:xs="http://www.w3.org/2001/XMLSchema" xmlns:p="http://schemas.microsoft.com/office/2006/metadata/properties" xmlns:ns2="32b9edc6-a32a-4b14-b9cd-066b90f571fa" xmlns:ns3="5f544caa-9115-4daa-aa1b-fc1aaa0525a2" targetNamespace="http://schemas.microsoft.com/office/2006/metadata/properties" ma:root="true" ma:fieldsID="6199134a5dc4e8d4ba0210f3fe88f67d" ns2:_="" ns3:_="">
    <xsd:import namespace="32b9edc6-a32a-4b14-b9cd-066b90f571fa"/>
    <xsd:import namespace="5f544caa-9115-4daa-aa1b-fc1aaa0525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9edc6-a32a-4b14-b9cd-066b90f571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d251acc-ceb4-4b37-bee0-bc5ff5ed0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544caa-9115-4daa-aa1b-fc1aaa0525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615106-8dea-4d61-97d7-c6aa1bb17ab4}" ma:internalName="TaxCatchAll" ma:showField="CatchAllData" ma:web="5f544caa-9115-4daa-aa1b-fc1aaa0525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9F86CE-DF4F-4FB8-A4B9-C8C6CB7E5B5D}"/>
</file>

<file path=customXml/itemProps2.xml><?xml version="1.0" encoding="utf-8"?>
<ds:datastoreItem xmlns:ds="http://schemas.openxmlformats.org/officeDocument/2006/customXml" ds:itemID="{77C7E846-1E98-439F-83DD-09FA5D5A42D2}"/>
</file>

<file path=customXml/itemProps3.xml><?xml version="1.0" encoding="utf-8"?>
<ds:datastoreItem xmlns:ds="http://schemas.openxmlformats.org/officeDocument/2006/customXml" ds:itemID="{1C4A4059-0083-4FD2-AEC8-C8187EF3D6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Laurent Dewilde</cp:lastModifiedBy>
  <cp:revision/>
  <dcterms:created xsi:type="dcterms:W3CDTF">2019-05-19T16:21:51Z</dcterms:created>
  <dcterms:modified xsi:type="dcterms:W3CDTF">2022-02-18T13:47:30Z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0x010100D5C15E7D546E954F9AE7758D6C4015E4</vt:lpwstr>
  </property>
  <property fmtid="{D5CDD505-2E9C-101B-9397-08002B2CF9AE}" pid="3" name="Order">
    <vt:r8>3000</vt:r8>
  </property>
</Properties>
</file>